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MTT5J4haz1kkK5sHSQQ9o/+trW6JjLyZe3VpnD4Tj+1cM6upXQn4buwrov5K0p8/zlqPc8ah2ozBKN96zKEmYw==" workbookSaltValue="bGvAIP8W6UhmGvepR2SQ1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B13" i="7"/>
  <c r="AB19" i="19"/>
  <c r="E18" i="12"/>
  <c r="D18" i="12"/>
  <c r="ER19" i="8"/>
  <c r="EQ19" i="8"/>
  <c r="BA13" i="16"/>
  <c r="AC17" i="11"/>
  <c r="G18" i="12"/>
  <c r="W19" i="13"/>
  <c r="Z19" i="8"/>
  <c r="AL13" i="16"/>
  <c r="S13" i="16"/>
  <c r="P13" i="16"/>
  <c r="AN13" i="20"/>
  <c r="M18" i="2"/>
  <c r="H13" i="12"/>
  <c r="T19" i="8"/>
  <c r="T13" i="12"/>
  <c r="BG12" i="8"/>
  <c r="BA13" i="8"/>
  <c r="E13" i="17"/>
  <c r="T13" i="20"/>
  <c r="T13" i="16"/>
  <c r="AP13" i="16"/>
  <c r="T18" i="17"/>
  <c r="BG15" i="13"/>
  <c r="J20" i="20"/>
  <c r="AF20" i="20"/>
  <c r="M20" i="20"/>
  <c r="AG20" i="20"/>
  <c r="S20" i="20"/>
  <c r="K20" i="20"/>
  <c r="Z20" i="20"/>
  <c r="AM20" i="20"/>
  <c r="AK20" i="20"/>
  <c r="W20" i="21"/>
  <c r="F20" i="20"/>
  <c r="AN17" i="11" l="1"/>
  <c r="I19" i="8"/>
  <c r="G17" i="3"/>
  <c r="AJ19" i="8"/>
  <c r="AR18" i="11"/>
  <c r="D13" i="7"/>
  <c r="AA19" i="8"/>
  <c r="BF9" i="8"/>
  <c r="BG9" i="8"/>
  <c r="AO12" i="11"/>
  <c r="X12" i="21"/>
  <c r="BM16" i="11"/>
  <c r="S17" i="16"/>
  <c r="BW12" i="20"/>
  <c r="AQ12" i="21"/>
  <c r="AA9" i="16"/>
  <c r="BH17" i="16"/>
  <c r="BF17" i="11"/>
  <c r="S9" i="17"/>
  <c r="V9" i="11"/>
  <c r="BG9" i="11"/>
  <c r="AP17" i="20"/>
  <c r="BU10" i="17"/>
  <c r="BW11" i="20"/>
  <c r="BU12" i="17"/>
  <c r="Q17" i="17"/>
  <c r="S10" i="17"/>
  <c r="BF15" i="11"/>
  <c r="BL16" i="11"/>
  <c r="L17" i="2"/>
  <c r="BH11" i="16"/>
  <c r="BM12" i="11"/>
  <c r="R10" i="21"/>
  <c r="R13" i="21" s="1"/>
  <c r="BH17" i="11"/>
  <c r="BU11" i="17"/>
  <c r="BW10" i="20"/>
  <c r="X15" i="17"/>
  <c r="BI9" i="11"/>
  <c r="Q15" i="17"/>
  <c r="L9" i="2"/>
  <c r="D17" i="6"/>
  <c r="J17" i="12" s="1"/>
  <c r="BF12" i="8"/>
  <c r="AY13" i="8"/>
  <c r="BD15" i="8"/>
  <c r="H15" i="7" s="1"/>
  <c r="G18" i="2"/>
  <c r="BE9" i="8"/>
  <c r="AC12" i="11"/>
  <c r="BD11" i="13"/>
  <c r="BB13" i="13"/>
  <c r="F11" i="16"/>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9" i="16"/>
  <c r="V10" i="16"/>
  <c r="X15" i="16"/>
  <c r="X18" i="16" s="1"/>
  <c r="L15" i="2"/>
  <c r="S15" i="17"/>
  <c r="BK10" i="11"/>
  <c r="BK13" i="11" s="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1" i="12" l="1"/>
  <c r="K9" i="12"/>
  <c r="I12" i="12"/>
  <c r="Q9" i="11"/>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H20" i="11"/>
  <c r="AY20" i="21"/>
  <c r="R20" i="11"/>
  <c r="V20" i="16"/>
  <c r="AL20" i="17"/>
  <c r="AD20" i="16"/>
  <c r="O20" i="17"/>
  <c r="AN20" i="11"/>
  <c r="Z20" i="17"/>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R20" i="21"/>
  <c r="V20" i="17"/>
  <c r="AW20" i="16"/>
  <c r="AO20" i="21"/>
  <c r="Q20" i="17"/>
  <c r="AI20" i="11"/>
  <c r="AZ20" i="16"/>
  <c r="J20" i="11"/>
  <c r="AS20" i="17"/>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<sst xmlns="http://schemas.openxmlformats.org/spreadsheetml/2006/main" count="2080" uniqueCount="913">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</sst>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e/lOyBlQtHBNpp7IE+ey0ooVLL2trVVxRIJ4s8/5PcLGNzemIVKwtYfn6rxpqxD2AJIK/mJWD5QPdmRzbLwIw==" saltValue="ntXz/W03F1OThf6ujWDc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8.3859349593495924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120</v>
      </c>
      <c r="D10" s="228">
        <f>IF(ISNUMBER(Datos!I10),Datos!I10," - ")</f>
        <v>120</v>
      </c>
      <c r="E10" s="229">
        <f>IF(ISNUMBER(Datos!J10),Datos!J10," - ")</f>
        <v>104</v>
      </c>
      <c r="F10" s="229">
        <f>IF(ISNUMBER(Datos!K10),Datos!K10," - ")</f>
        <v>112</v>
      </c>
      <c r="G10" s="1037" t="str">
        <f>IF(Datos!E10&lt;&gt;"",Datos!E10,Datos!D10)</f>
        <v>37</v>
      </c>
      <c r="H10" s="230">
        <f>IF(ISNUMBER(Datos!L10),Datos!L10," - ")</f>
        <v>112</v>
      </c>
      <c r="I10" s="1047" t="str">
        <f>IF(ISNUMBER(Datos!AS10/Datos!BM10),Datos!AS10/Datos!BM10," - ")</f>
        <v xml:space="preserve"> - </v>
      </c>
      <c r="J10" s="1048">
        <f>IF(ISNUMBER(Datos!BY10/Datos!CN10),Datos!BY10/Datos!CN10," - ")</f>
        <v>0</v>
      </c>
      <c r="K10" s="233">
        <f t="shared" ref="K10:K12" si="1">IF(ISNUMBER((E10-F10)/C10),(E10-F10)/C10," - ")</f>
        <v>-6.6666666666666666E-2</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6.3354995938261576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120</v>
      </c>
      <c r="D13" s="1052">
        <f>SUBTOTAL(9,D9:D12)</f>
        <v>120</v>
      </c>
      <c r="E13" s="1053">
        <f>SUBTOTAL(9,E9:E12)</f>
        <v>104</v>
      </c>
      <c r="F13" s="1054">
        <f>SUBTOTAL(9,F9:F12)</f>
        <v>112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3438</v>
      </c>
      <c r="D15" s="228">
        <f>IF(ISNUMBER(IF(D_I="SI",Datos!I15,Datos!I15+Datos!AC15)),IF(D_I="SI",Datos!I15,Datos!I15+Datos!AC15)," - ")</f>
        <v>2946</v>
      </c>
      <c r="E15" s="229">
        <f>IF(ISNUMBER(IF(D_I="SI",Datos!J15,Datos!J15+Datos!AD15)),IF(D_I="SI",Datos!J15,Datos!J15+Datos!AD15)," - ")</f>
        <v>24844</v>
      </c>
      <c r="F15" s="229">
        <f>IF(ISNUMBER(IF(D_I="SI",Datos!K15,Datos!K15+Datos!AE15)),IF(D_I="SI",Datos!K15,Datos!K15+Datos!AE15)," - ")</f>
        <v>24938</v>
      </c>
      <c r="G15" s="1037" t="str">
        <f>IF(Datos!E15&lt;&gt;"",Datos!E15,Datos!D15)</f>
        <v>03</v>
      </c>
      <c r="H15" s="230">
        <f>IF(ISNUMBER(IF(D_I="SI",Datos!L15,Datos!L15+Datos!AF15)),IF(D_I="SI",Datos!L15,Datos!L15+Datos!AF15)," - ")</f>
        <v>3344</v>
      </c>
      <c r="I15" s="1047" t="str">
        <f>IF(ISNUMBER(Datos!AS15/Datos!BM15),Datos!AS15/Datos!BM15," - ")</f>
        <v xml:space="preserve"> - </v>
      </c>
      <c r="J15" s="1048">
        <f>IF(ISNUMBER(Datos!BY15/Datos!CN15),Datos!BY15/Datos!CN15," - ")</f>
        <v>0</v>
      </c>
      <c r="K15" s="233">
        <f t="shared" ref="K15:K17" si="3">IF(ISNUMBER((E15-F15)/C15),(E15-F15)/C15," - ")</f>
        <v>-2.7341477603257707E-2</v>
      </c>
      <c r="L15" s="1028">
        <f>IF(ISNUMBER(NºAsuntos!I15/NºAsuntos!G15),(NºAsuntos!I15/NºAsuntos!G15)*11," - ")</f>
        <v>1.4750180447509824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192</v>
      </c>
      <c r="D17" s="228">
        <f>IF(ISNUMBER(IF(D_I="SI",Datos!I17,Datos!I17+Datos!AC17)),IF(D_I="SI",Datos!I17,Datos!I17+Datos!AC17)," - ")</f>
        <v>192</v>
      </c>
      <c r="E17" s="229">
        <f>IF(ISNUMBER(IF(D_I="SI",Datos!J17,Datos!J17+Datos!AD17)),IF(D_I="SI",Datos!J17,Datos!J17+Datos!AD17)," - ")</f>
        <v>1194</v>
      </c>
      <c r="F17" s="229">
        <f>IF(ISNUMBER(IF(D_I="SI",Datos!K17,Datos!K17+Datos!AE17)),IF(D_I="SI",Datos!K17,Datos!K17+Datos!AE17)," - ")</f>
        <v>1150</v>
      </c>
      <c r="G17" s="1037" t="str">
        <f>IF(Datos!E17&lt;&gt;"",Datos!E17,Datos!D17)</f>
        <v>37</v>
      </c>
      <c r="H17" s="230">
        <f>IF(ISNUMBER(IF(D_I="SI",Datos!L17,Datos!L17+Datos!AF17)),IF(D_I="SI",Datos!L17,Datos!L17+Datos!AF17)," - ")</f>
        <v>236</v>
      </c>
      <c r="I17" s="1047" t="str">
        <f>IF(ISNUMBER(Datos!AS17/Datos!BM17),Datos!AS17/Datos!BM17," - ")</f>
        <v xml:space="preserve"> - </v>
      </c>
      <c r="J17" s="1048" t="str">
        <f>IF(ISNUMBER((Datos!BY17+Datos!BZ17)/Datos!CN17),(Datos!BY17+Datos!BZ17)/Datos!CN17," - ")</f>
        <v xml:space="preserve"> - </v>
      </c>
      <c r="K17" s="233">
        <f t="shared" si="3"/>
        <v>0.22916666666666666</v>
      </c>
      <c r="L17" s="1028">
        <f>IF(ISNUMBER(NºAsuntos!I17/NºAsuntos!G17),(NºAsuntos!I17/NºAsuntos!G17)*11," - ")</f>
        <v>2.2573913043478262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3630</v>
      </c>
      <c r="D18" s="1052">
        <f>SUBTOTAL(9,D15:D17)</f>
        <v>3138</v>
      </c>
      <c r="E18" s="1053">
        <f>SUBTOTAL(9,E15:E17)</f>
        <v>26038</v>
      </c>
      <c r="F18" s="1053">
        <f>SUBTOTAL(9,F15:F17)</f>
        <v>26088</v>
      </c>
      <c r="G18" s="1055" t="str">
        <f ca="1">INDIRECT(CONCATENATE("G",ROW()-1))</f>
        <v>37</v>
      </c>
      <c r="H18" s="1056">
        <f ca="1">SUMIF(G$14:G17,G18,H$14:H17)</f>
        <v>236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3750</v>
      </c>
      <c r="D19" s="1074">
        <f>SUBTOTAL(9,D9:D18)</f>
        <v>3258</v>
      </c>
      <c r="E19" s="1075">
        <f>SUBTOTAL(9,E9:E18)</f>
        <v>26142</v>
      </c>
      <c r="F19" s="1075">
        <f>SUBTOTAL(9,F9:F18)</f>
        <v>26200</v>
      </c>
      <c r="G19" s="1076"/>
      <c r="H19" s="1077">
        <f ca="1">SUMIF(B9:B18,"TOTAL",H9:H18)</f>
        <v>236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esfwgWOg6y9p9mMqQYDsJngXkOZ0kADvrtA0KdPc+iYEoaJIz0MHO/Iy9r0R95MOZwlgTq96B5S6hIfBK2hf4Q==" saltValue="+cVMaa+nADZ19ook1pp9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IIVYS59bFoEreixd62QIzi89L8DT87f6NmWzdJ38EtrRWdJw9cn2SmC10aiXknpnOqLuL4/v73twHuJS85XFg==" saltValue="WxXRs2gmdp3Ad4sVmAtm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8638</v>
      </c>
      <c r="J9" s="184">
        <v>12244</v>
      </c>
      <c r="K9" s="184">
        <v>11654</v>
      </c>
      <c r="L9" s="184">
        <v>9154</v>
      </c>
      <c r="M9" s="184">
        <v>2452</v>
      </c>
      <c r="N9" s="184">
        <v>4865</v>
      </c>
      <c r="O9" s="184">
        <v>6928</v>
      </c>
      <c r="P9" s="184">
        <v>4038</v>
      </c>
      <c r="Q9" s="184">
        <v>3836</v>
      </c>
      <c r="R9" s="184">
        <v>11945</v>
      </c>
      <c r="S9" s="184">
        <v>8113</v>
      </c>
      <c r="T9" s="184">
        <v>12165</v>
      </c>
      <c r="U9" s="184">
        <v>12001</v>
      </c>
      <c r="V9" s="184">
        <v>8638</v>
      </c>
      <c r="W9" s="184">
        <v>3336</v>
      </c>
      <c r="X9" s="191">
        <v>4540</v>
      </c>
      <c r="Y9" s="194">
        <v>187</v>
      </c>
      <c r="Z9" s="184">
        <v>682</v>
      </c>
      <c r="AA9" s="184">
        <v>646</v>
      </c>
      <c r="AB9" s="184">
        <v>223</v>
      </c>
      <c r="AC9" s="184">
        <v>0</v>
      </c>
      <c r="AD9" s="184">
        <v>0</v>
      </c>
      <c r="AE9" s="184">
        <v>0</v>
      </c>
      <c r="AF9" s="191">
        <v>0</v>
      </c>
      <c r="AG9" s="194">
        <v>191</v>
      </c>
      <c r="AH9" s="184">
        <v>592</v>
      </c>
      <c r="AI9" s="184">
        <v>614</v>
      </c>
      <c r="AJ9" s="195">
        <v>187</v>
      </c>
      <c r="AK9" s="183">
        <v>0</v>
      </c>
      <c r="AL9" s="184">
        <v>0</v>
      </c>
      <c r="AM9" s="184">
        <v>0</v>
      </c>
      <c r="AN9" s="191">
        <v>0</v>
      </c>
      <c r="AO9" s="261">
        <v>7</v>
      </c>
      <c r="AP9" s="157">
        <v>7</v>
      </c>
      <c r="AQ9" s="157">
        <v>7</v>
      </c>
      <c r="AR9" s="196">
        <v>7</v>
      </c>
      <c r="AS9" s="341" t="s">
        <v>800</v>
      </c>
      <c r="AT9" s="198"/>
      <c r="AU9" s="197"/>
      <c r="AV9" s="198"/>
      <c r="AW9" s="197"/>
      <c r="AX9" s="198"/>
      <c r="AY9" s="123">
        <f>IF(ISNUMBER(IF(J_V="SI",S9,S9+AG9)),IF(J_V="SI",S9,S9+AG9)," - ")</f>
        <v>8304</v>
      </c>
      <c r="AZ9" s="123">
        <f>IF(ISNUMBER(IF(J_V="SI",T9,T9+AH9)),IF(J_V="SI",T9,T9+AH9)," - ")</f>
        <v>12757</v>
      </c>
      <c r="BA9" s="124">
        <f>IF(ISNUMBER(IF(J_V="SI",U9,U9+AI9)),IF(J_V="SI",U9,U9+AI9)," - ")</f>
        <v>12615</v>
      </c>
      <c r="BB9" s="124">
        <f>IF(ISNUMBER(IF(J_V="SI",V9,V9+AJ9)),IF(J_V="SI",V9,V9+AJ9)," - ")</f>
        <v>8825</v>
      </c>
      <c r="BC9" s="125">
        <f>IF(ISNUMBER(X9),X9," - ")</f>
        <v>4540</v>
      </c>
      <c r="BD9" s="126">
        <f>IF(ISNUMBER(BA9/AZ9),BA9/AZ9," - ")</f>
        <v>0.98886885631418042</v>
      </c>
      <c r="BE9" s="127">
        <f>IF(ISNUMBER(BB9/BA9),BB9/BA9, " - ")</f>
        <v>0.69956401109789934</v>
      </c>
      <c r="BF9" s="127">
        <f>IF(ISNUMBER(BC9/BA9),BC9/BA9, " - ")</f>
        <v>0.35988902100673803</v>
      </c>
      <c r="BG9" s="199">
        <f>IF(ISNUMBER((AY9+AZ9)/BA9),(AY9+AZ9)/BA9," - ")</f>
        <v>1.6695204122076892</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120</v>
      </c>
      <c r="J10" s="184">
        <v>104</v>
      </c>
      <c r="K10" s="184">
        <v>112</v>
      </c>
      <c r="L10" s="184">
        <v>112</v>
      </c>
      <c r="M10" s="184">
        <v>63</v>
      </c>
      <c r="N10" s="184">
        <v>35</v>
      </c>
      <c r="O10" s="184">
        <v>23</v>
      </c>
      <c r="P10" s="184">
        <v>40</v>
      </c>
      <c r="Q10" s="184">
        <v>37</v>
      </c>
      <c r="R10" s="184">
        <v>179</v>
      </c>
      <c r="S10" s="184">
        <v>109</v>
      </c>
      <c r="T10" s="184">
        <v>128</v>
      </c>
      <c r="U10" s="184">
        <v>117</v>
      </c>
      <c r="V10" s="184">
        <v>120</v>
      </c>
      <c r="W10" s="184">
        <v>36</v>
      </c>
      <c r="X10" s="191">
        <v>47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794</v>
      </c>
      <c r="AT10" s="195"/>
      <c r="AU10" s="203"/>
      <c r="AV10" s="195"/>
      <c r="AW10" s="203"/>
      <c r="AX10" s="195"/>
      <c r="AY10" s="128">
        <f t="shared" ref="AY10:BC10" si="0">IF(ISNUMBER(S10),S10," - ")</f>
        <v>109</v>
      </c>
      <c r="AZ10" s="129">
        <f t="shared" si="0"/>
        <v>128</v>
      </c>
      <c r="BA10" s="129">
        <f t="shared" si="0"/>
        <v>117</v>
      </c>
      <c r="BB10" s="129">
        <f t="shared" si="0"/>
        <v>120</v>
      </c>
      <c r="BC10" s="125">
        <f t="shared" si="0"/>
        <v>36</v>
      </c>
      <c r="BD10" s="126">
        <f>IF(ISNUMBER(BA10/AZ10),BA10/AZ10," - ")</f>
        <v>0.9140625</v>
      </c>
      <c r="BE10" s="127">
        <f>IF(ISNUMBER(BB10/BA10),BB10/BA10, " - ")</f>
        <v>1.0256410256410255</v>
      </c>
      <c r="BF10" s="127">
        <f>IF(ISNUMBER(BC10/BA10),BC10/BA10, " - ")</f>
        <v>0.30769230769230771</v>
      </c>
      <c r="BG10" s="199">
        <f>IF(ISNUMBER((AY10+AZ10)/BA10),(AY10+AZ10)/BA10," - ")</f>
        <v>2.0256410256410255</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640</v>
      </c>
      <c r="J11" s="186">
        <v>1253</v>
      </c>
      <c r="K11" s="186">
        <v>1199</v>
      </c>
      <c r="L11" s="186">
        <v>694</v>
      </c>
      <c r="M11" s="186">
        <v>582</v>
      </c>
      <c r="N11" s="186">
        <v>338</v>
      </c>
      <c r="O11" s="184">
        <v>392</v>
      </c>
      <c r="P11" s="186">
        <v>238</v>
      </c>
      <c r="Q11" s="186">
        <v>261</v>
      </c>
      <c r="R11" s="186">
        <v>753</v>
      </c>
      <c r="S11" s="186">
        <v>627</v>
      </c>
      <c r="T11" s="186">
        <v>1247</v>
      </c>
      <c r="U11" s="186">
        <v>1234</v>
      </c>
      <c r="V11" s="186">
        <v>640</v>
      </c>
      <c r="W11" s="186">
        <v>612</v>
      </c>
      <c r="X11" s="192">
        <v>368</v>
      </c>
      <c r="Y11" s="194">
        <v>10</v>
      </c>
      <c r="Z11" s="184">
        <v>37</v>
      </c>
      <c r="AA11" s="184">
        <v>32</v>
      </c>
      <c r="AB11" s="184">
        <v>15</v>
      </c>
      <c r="AC11" s="186">
        <v>0</v>
      </c>
      <c r="AD11" s="186">
        <v>0</v>
      </c>
      <c r="AE11" s="186">
        <v>0</v>
      </c>
      <c r="AF11" s="192">
        <v>0</v>
      </c>
      <c r="AG11" s="205">
        <v>29</v>
      </c>
      <c r="AH11" s="186">
        <v>27</v>
      </c>
      <c r="AI11" s="186">
        <v>46</v>
      </c>
      <c r="AJ11" s="206">
        <v>10</v>
      </c>
      <c r="AK11" s="185">
        <v>0</v>
      </c>
      <c r="AL11" s="186">
        <v>0</v>
      </c>
      <c r="AM11" s="186">
        <v>0</v>
      </c>
      <c r="AN11" s="192">
        <v>0</v>
      </c>
      <c r="AO11" s="262">
        <v>1</v>
      </c>
      <c r="AP11" s="158">
        <v>1</v>
      </c>
      <c r="AQ11" s="158">
        <v>1</v>
      </c>
      <c r="AR11" s="157">
        <v>1</v>
      </c>
      <c r="AS11" s="343" t="s">
        <v>802</v>
      </c>
      <c r="AT11" s="206"/>
      <c r="AU11" s="205"/>
      <c r="AV11" s="206"/>
      <c r="AW11" s="205"/>
      <c r="AX11" s="206"/>
      <c r="AY11" s="126">
        <f t="shared" ref="AY11:BB12" si="1">IF(ISNUMBER(IF(J_V="SI",S11,S11+AG11)),IF(J_V="SI",S11,S11+AG11)," - ")</f>
        <v>656</v>
      </c>
      <c r="AZ11" s="127">
        <f t="shared" si="1"/>
        <v>1274</v>
      </c>
      <c r="BA11" s="127">
        <f t="shared" si="1"/>
        <v>1280</v>
      </c>
      <c r="BB11" s="127">
        <f t="shared" si="1"/>
        <v>650</v>
      </c>
      <c r="BC11" s="125">
        <f>IF(ISNUMBER(X11),X11," - ")</f>
        <v>368</v>
      </c>
      <c r="BD11" s="126">
        <f t="shared" ref="BD11:BD12" si="2">IF(ISNUMBER(BA11/AZ11),BA11/AZ11," - ")</f>
        <v>1.0047095761381475</v>
      </c>
      <c r="BE11" s="127">
        <f t="shared" ref="BE11:BE12" si="3">IF(ISNUMBER(BB11/BA11),BB11/BA11, " - ")</f>
        <v>0.5078125</v>
      </c>
      <c r="BF11" s="127">
        <f t="shared" ref="BF11:BF12" si="4">IF(ISNUMBER(BC11/BA11),BC11/BA11, " - ")</f>
        <v>0.28749999999999998</v>
      </c>
      <c r="BG11" s="199">
        <f t="shared" ref="BG11:BG12" si="5">IF(ISNUMBER((AY11+AZ11)/BA11),(AY11+AZ11)/BA11," - ")</f>
        <v>1.5078125</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9398</v>
      </c>
      <c r="J13" s="187">
        <f t="shared" si="6"/>
        <v>13601</v>
      </c>
      <c r="K13" s="187">
        <f t="shared" si="6"/>
        <v>12965</v>
      </c>
      <c r="L13" s="187">
        <f t="shared" si="6"/>
        <v>9960</v>
      </c>
      <c r="M13" s="187">
        <f t="shared" si="6"/>
        <v>3097</v>
      </c>
      <c r="N13" s="187">
        <f t="shared" si="6"/>
        <v>5238</v>
      </c>
      <c r="O13" s="187">
        <f t="shared" si="6"/>
        <v>7343</v>
      </c>
      <c r="P13" s="187">
        <f t="shared" si="6"/>
        <v>4316</v>
      </c>
      <c r="Q13" s="187">
        <f t="shared" si="6"/>
        <v>4134</v>
      </c>
      <c r="R13" s="187">
        <f t="shared" si="6"/>
        <v>12877</v>
      </c>
      <c r="S13" s="187">
        <f t="shared" si="6"/>
        <v>8849</v>
      </c>
      <c r="T13" s="187">
        <f t="shared" si="6"/>
        <v>13540</v>
      </c>
      <c r="U13" s="187">
        <f t="shared" si="6"/>
        <v>13352</v>
      </c>
      <c r="V13" s="187">
        <f t="shared" si="6"/>
        <v>9398</v>
      </c>
      <c r="W13" s="187">
        <f t="shared" si="6"/>
        <v>3984</v>
      </c>
      <c r="X13" s="187">
        <f t="shared" si="6"/>
        <v>4955</v>
      </c>
      <c r="Y13" s="187">
        <f t="shared" si="6"/>
        <v>197</v>
      </c>
      <c r="Z13" s="187">
        <f t="shared" si="6"/>
        <v>719</v>
      </c>
      <c r="AA13" s="187">
        <f t="shared" si="6"/>
        <v>678</v>
      </c>
      <c r="AB13" s="187">
        <f t="shared" si="6"/>
        <v>238</v>
      </c>
      <c r="AC13" s="187">
        <f t="shared" si="6"/>
        <v>0</v>
      </c>
      <c r="AD13" s="187">
        <f t="shared" si="6"/>
        <v>0</v>
      </c>
      <c r="AE13" s="187">
        <f t="shared" si="6"/>
        <v>0</v>
      </c>
      <c r="AF13" s="187">
        <f>SUBTOTAL(9,AF9:AF12)</f>
        <v>0</v>
      </c>
      <c r="AG13" s="187">
        <f t="shared" ref="AG13:AT13" si="7">SUBTOTAL(9,AG8:AG12)</f>
        <v>220</v>
      </c>
      <c r="AH13" s="187">
        <f t="shared" si="7"/>
        <v>619</v>
      </c>
      <c r="AI13" s="187">
        <f t="shared" si="7"/>
        <v>660</v>
      </c>
      <c r="AJ13" s="187">
        <f t="shared" si="7"/>
        <v>197</v>
      </c>
      <c r="AK13" s="187">
        <f t="shared" si="7"/>
        <v>0</v>
      </c>
      <c r="AL13" s="187">
        <f t="shared" si="7"/>
        <v>0</v>
      </c>
      <c r="AM13" s="187">
        <f t="shared" si="7"/>
        <v>0</v>
      </c>
      <c r="AN13" s="187">
        <f t="shared" si="7"/>
        <v>0</v>
      </c>
      <c r="AO13" s="187">
        <f t="shared" si="7"/>
        <v>10</v>
      </c>
      <c r="AP13" s="187">
        <f t="shared" si="7"/>
        <v>9</v>
      </c>
      <c r="AQ13" s="187">
        <f t="shared" si="7"/>
        <v>9</v>
      </c>
      <c r="AR13" s="187">
        <f t="shared" si="7"/>
        <v>9</v>
      </c>
      <c r="AS13" s="187">
        <f t="shared" si="7"/>
        <v>0</v>
      </c>
      <c r="AT13" s="187">
        <f t="shared" si="7"/>
        <v>0</v>
      </c>
      <c r="AU13" s="207"/>
      <c r="AV13" s="132"/>
      <c r="AW13" s="207"/>
      <c r="AX13" s="132"/>
      <c r="AY13" s="187">
        <f>SUBTOTAL(9,AY8:AY12)</f>
        <v>9069</v>
      </c>
      <c r="AZ13" s="187">
        <f>SUBTOTAL(9,AZ8:AZ12)</f>
        <v>14159</v>
      </c>
      <c r="BA13" s="187">
        <f>SUBTOTAL(9,BA8:BA12)</f>
        <v>14012</v>
      </c>
      <c r="BB13" s="187">
        <f>SUBTOTAL(9,BB8:BB12)</f>
        <v>9595</v>
      </c>
      <c r="BC13" s="187">
        <f>SUBTOTAL(9,BC8:BC12)</f>
        <v>4944</v>
      </c>
      <c r="BD13" s="208">
        <f>IF(ISNUMBER(BA13/AZ13),BA13/AZ13," - ")</f>
        <v>0.98961791086941164</v>
      </c>
      <c r="BE13" s="209">
        <f>IF(ISNUMBER(BB13/BA13),BB13/BA13, " - ")</f>
        <v>0.6847701969740223</v>
      </c>
      <c r="BF13" s="209">
        <f>IF(ISNUMBER(BC13/BA13),BC13/BA13, " - ")</f>
        <v>0.3528404224950043</v>
      </c>
      <c r="BG13" s="210">
        <f>IF(ISNUMBER((AY13+AZ13)/BA13),(AY13+AZ13)/BA13," - ")</f>
        <v>1.6577219526120468</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2946</v>
      </c>
      <c r="J15" s="186">
        <v>24844</v>
      </c>
      <c r="K15" s="186">
        <v>24938</v>
      </c>
      <c r="L15" s="186">
        <v>3344</v>
      </c>
      <c r="M15" s="186">
        <v>1980</v>
      </c>
      <c r="N15" s="186">
        <v>17289</v>
      </c>
      <c r="O15" s="184">
        <v>349</v>
      </c>
      <c r="P15" s="186">
        <v>581</v>
      </c>
      <c r="Q15" s="186">
        <v>688</v>
      </c>
      <c r="R15" s="186">
        <v>523</v>
      </c>
      <c r="S15" s="186">
        <v>3030</v>
      </c>
      <c r="T15" s="186">
        <v>25770</v>
      </c>
      <c r="U15" s="186">
        <v>26055</v>
      </c>
      <c r="V15" s="186">
        <v>2946</v>
      </c>
      <c r="W15" s="186">
        <v>2091</v>
      </c>
      <c r="X15" s="192">
        <v>18956</v>
      </c>
      <c r="Y15" s="205">
        <v>0</v>
      </c>
      <c r="Z15" s="186">
        <v>0</v>
      </c>
      <c r="AA15" s="186">
        <v>0</v>
      </c>
      <c r="AB15" s="186">
        <v>0</v>
      </c>
      <c r="AC15" s="186">
        <v>3</v>
      </c>
      <c r="AD15" s="186">
        <v>1151</v>
      </c>
      <c r="AE15" s="186">
        <v>1154</v>
      </c>
      <c r="AF15" s="192">
        <v>0</v>
      </c>
      <c r="AG15" s="205">
        <v>0</v>
      </c>
      <c r="AH15" s="186">
        <v>0</v>
      </c>
      <c r="AI15" s="186">
        <v>0</v>
      </c>
      <c r="AJ15" s="206">
        <v>0</v>
      </c>
      <c r="AK15" s="185">
        <v>0</v>
      </c>
      <c r="AL15" s="186">
        <v>1247</v>
      </c>
      <c r="AM15" s="186">
        <v>1244</v>
      </c>
      <c r="AN15" s="192">
        <v>3</v>
      </c>
      <c r="AO15" s="262">
        <v>6</v>
      </c>
      <c r="AP15" s="158">
        <v>6</v>
      </c>
      <c r="AQ15" s="158">
        <v>6</v>
      </c>
      <c r="AR15" s="158">
        <v>6</v>
      </c>
      <c r="AS15" s="343" t="s">
        <v>527</v>
      </c>
      <c r="AT15" s="206" t="s">
        <v>326</v>
      </c>
      <c r="AU15" s="205"/>
      <c r="AV15" s="206"/>
      <c r="AW15" s="205"/>
      <c r="AX15" s="206"/>
      <c r="AY15" s="128">
        <f t="shared" ref="AY15:BB16" si="9">IF(ISNUMBER(IF(D_I="SI",S15,S15+AK15)),IF(D_I="SI",S15,S15+AK15)," - ")</f>
        <v>3030</v>
      </c>
      <c r="AZ15" s="129">
        <f t="shared" si="9"/>
        <v>25770</v>
      </c>
      <c r="BA15" s="129">
        <f t="shared" si="9"/>
        <v>26055</v>
      </c>
      <c r="BB15" s="129">
        <f t="shared" si="9"/>
        <v>2946</v>
      </c>
      <c r="BC15" s="125">
        <f>IF(ISNUMBER(W15),W15," - ")</f>
        <v>2091</v>
      </c>
      <c r="BD15" s="126">
        <f>IF(ISNUMBER(BA15/AZ15),BA15/AZ15," - ")</f>
        <v>1.0110593713620488</v>
      </c>
      <c r="BE15" s="127">
        <f>IF(ISNUMBER(BB15/BA15),BB15/BA15, " - ")</f>
        <v>0.1130685089234312</v>
      </c>
      <c r="BF15" s="127">
        <f>IF(ISNUMBER(BC15/BA15),BC15/BA15, " - ")</f>
        <v>8.0253310305123782E-2</v>
      </c>
      <c r="BG15" s="199">
        <f t="shared" ref="BG15:BG16" si="10">IF(ISNUMBER((AY15+AZ15)/BA15),(AY15+AZ15)/BA15," - ")</f>
        <v>1.1053540587219344</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192</v>
      </c>
      <c r="J17" s="186">
        <v>1194</v>
      </c>
      <c r="K17" s="186">
        <v>1150</v>
      </c>
      <c r="L17" s="186">
        <v>236</v>
      </c>
      <c r="M17" s="186">
        <v>121</v>
      </c>
      <c r="N17" s="186">
        <v>500</v>
      </c>
      <c r="O17" s="186">
        <v>0</v>
      </c>
      <c r="P17" s="186">
        <v>5</v>
      </c>
      <c r="Q17" s="186">
        <v>2</v>
      </c>
      <c r="R17" s="186">
        <v>4</v>
      </c>
      <c r="S17" s="186">
        <v>180</v>
      </c>
      <c r="T17" s="186">
        <v>1009</v>
      </c>
      <c r="U17" s="186">
        <v>997</v>
      </c>
      <c r="V17" s="186">
        <v>192</v>
      </c>
      <c r="W17" s="186">
        <v>92</v>
      </c>
      <c r="X17" s="192">
        <v>565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793</v>
      </c>
      <c r="AT17" s="212"/>
      <c r="AU17" s="203"/>
      <c r="AV17" s="212"/>
      <c r="AW17" s="203"/>
      <c r="AX17" s="212"/>
      <c r="AY17" s="128">
        <f t="shared" ref="AY17:BB17" si="14">IF(ISNUMBER(S17),S17," - ")</f>
        <v>180</v>
      </c>
      <c r="AZ17" s="129">
        <f t="shared" si="14"/>
        <v>1009</v>
      </c>
      <c r="BA17" s="129">
        <f t="shared" si="14"/>
        <v>997</v>
      </c>
      <c r="BB17" s="129">
        <f t="shared" si="14"/>
        <v>192</v>
      </c>
      <c r="BC17" s="125">
        <f>IF(ISNUMBER(W17),W17," - ")</f>
        <v>92</v>
      </c>
      <c r="BD17" s="126">
        <f>IF(ISNUMBER(BA17/AZ17),BA17/AZ17," - ")</f>
        <v>0.98810703666997024</v>
      </c>
      <c r="BE17" s="127">
        <f>IF(ISNUMBER(BB17/BA17),BB17/BA17, " - ")</f>
        <v>0.19257773319959878</v>
      </c>
      <c r="BF17" s="127">
        <f>IF(ISNUMBER(BC17/BA17),BC17/BA17, " - ")</f>
        <v>9.2276830491474421E-2</v>
      </c>
      <c r="BG17" s="199">
        <f>IF(ISNUMBER((AY17+AZ17)/BA17),(AY17+AZ17)/BA17," - ")</f>
        <v>1.1925777331995988</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3138</v>
      </c>
      <c r="J18" s="187">
        <f t="shared" si="15"/>
        <v>26038</v>
      </c>
      <c r="K18" s="187">
        <f t="shared" si="15"/>
        <v>26088</v>
      </c>
      <c r="L18" s="187">
        <f t="shared" si="15"/>
        <v>3580</v>
      </c>
      <c r="M18" s="187">
        <f t="shared" si="15"/>
        <v>2101</v>
      </c>
      <c r="N18" s="187">
        <f t="shared" si="15"/>
        <v>17789</v>
      </c>
      <c r="O18" s="187">
        <f t="shared" si="15"/>
        <v>349</v>
      </c>
      <c r="P18" s="187">
        <f t="shared" si="15"/>
        <v>586</v>
      </c>
      <c r="Q18" s="187">
        <f t="shared" si="15"/>
        <v>690</v>
      </c>
      <c r="R18" s="187">
        <f t="shared" si="15"/>
        <v>527</v>
      </c>
      <c r="S18" s="187">
        <f t="shared" si="15"/>
        <v>3210</v>
      </c>
      <c r="T18" s="187">
        <f t="shared" si="15"/>
        <v>26779</v>
      </c>
      <c r="U18" s="187">
        <f t="shared" si="15"/>
        <v>27052</v>
      </c>
      <c r="V18" s="187">
        <f t="shared" si="15"/>
        <v>3138</v>
      </c>
      <c r="W18" s="187">
        <f t="shared" si="15"/>
        <v>2183</v>
      </c>
      <c r="X18" s="187">
        <f t="shared" si="15"/>
        <v>19521</v>
      </c>
      <c r="Y18" s="187">
        <f t="shared" si="15"/>
        <v>0</v>
      </c>
      <c r="Z18" s="187">
        <f t="shared" si="15"/>
        <v>0</v>
      </c>
      <c r="AA18" s="187">
        <f t="shared" si="15"/>
        <v>0</v>
      </c>
      <c r="AB18" s="187">
        <f t="shared" si="15"/>
        <v>0</v>
      </c>
      <c r="AC18" s="187">
        <f t="shared" si="15"/>
        <v>3</v>
      </c>
      <c r="AD18" s="187">
        <f t="shared" si="15"/>
        <v>1151</v>
      </c>
      <c r="AE18" s="187">
        <f t="shared" si="15"/>
        <v>1154</v>
      </c>
      <c r="AF18" s="187">
        <f t="shared" si="15"/>
        <v>0</v>
      </c>
      <c r="AG18" s="187">
        <f t="shared" si="15"/>
        <v>0</v>
      </c>
      <c r="AH18" s="187">
        <f t="shared" si="15"/>
        <v>0</v>
      </c>
      <c r="AI18" s="187">
        <f t="shared" si="15"/>
        <v>0</v>
      </c>
      <c r="AJ18" s="187">
        <f t="shared" si="15"/>
        <v>0</v>
      </c>
      <c r="AK18" s="187">
        <f t="shared" si="15"/>
        <v>0</v>
      </c>
      <c r="AL18" s="187">
        <f t="shared" si="15"/>
        <v>1247</v>
      </c>
      <c r="AM18" s="187">
        <f t="shared" si="15"/>
        <v>1244</v>
      </c>
      <c r="AN18" s="187">
        <f t="shared" si="15"/>
        <v>3</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3210</v>
      </c>
      <c r="AZ18" s="187">
        <f>SUBTOTAL(9,AZ14:AZ17)</f>
        <v>26779</v>
      </c>
      <c r="BA18" s="187">
        <f>SUBTOTAL(9,BA14:BA17)</f>
        <v>27052</v>
      </c>
      <c r="BB18" s="187">
        <f>SUBTOTAL(9,BB14:BB17)</f>
        <v>3138</v>
      </c>
      <c r="BC18" s="187">
        <f>SUBTOTAL(9,BC14:BC17)</f>
        <v>2183</v>
      </c>
      <c r="BD18" s="208">
        <f>IF(ISNUMBER(BA18/AZ18),BA18/AZ18," - ")</f>
        <v>1.0101945554352292</v>
      </c>
      <c r="BE18" s="209">
        <f>IF(ISNUMBER(BB18/BA18),BB18/BA18, " - ")</f>
        <v>0.11599881709300607</v>
      </c>
      <c r="BF18" s="209">
        <f>IF(ISNUMBER(BC18/BA18),BC18/BA18, " - ")</f>
        <v>8.0696436492680768E-2</v>
      </c>
      <c r="BG18" s="210">
        <f>IF(ISNUMBER((AY18+AZ18)/BA18),(AY18+AZ18)/BA18," - ")</f>
        <v>1.1085686825373355</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12536</v>
      </c>
      <c r="J19" s="134">
        <f t="shared" si="18"/>
        <v>39639</v>
      </c>
      <c r="K19" s="134">
        <f t="shared" si="18"/>
        <v>39053</v>
      </c>
      <c r="L19" s="134">
        <f t="shared" si="18"/>
        <v>13540</v>
      </c>
      <c r="M19" s="134">
        <f t="shared" si="18"/>
        <v>5198</v>
      </c>
      <c r="N19" s="134">
        <f t="shared" si="18"/>
        <v>23027</v>
      </c>
      <c r="O19" s="134">
        <f t="shared" si="18"/>
        <v>7692</v>
      </c>
      <c r="P19" s="134">
        <f t="shared" si="18"/>
        <v>4902</v>
      </c>
      <c r="Q19" s="134">
        <f t="shared" si="18"/>
        <v>4824</v>
      </c>
      <c r="R19" s="134">
        <f t="shared" si="18"/>
        <v>13404</v>
      </c>
      <c r="S19" s="134">
        <f t="shared" si="18"/>
        <v>12059</v>
      </c>
      <c r="T19" s="134">
        <f t="shared" si="18"/>
        <v>40319</v>
      </c>
      <c r="U19" s="134">
        <f t="shared" si="18"/>
        <v>40404</v>
      </c>
      <c r="V19" s="134">
        <f t="shared" si="18"/>
        <v>12536</v>
      </c>
      <c r="W19" s="134">
        <f t="shared" si="18"/>
        <v>6167</v>
      </c>
      <c r="X19" s="134">
        <f t="shared" si="18"/>
        <v>24476</v>
      </c>
      <c r="Y19" s="134">
        <f t="shared" si="18"/>
        <v>197</v>
      </c>
      <c r="Z19" s="134">
        <f t="shared" si="18"/>
        <v>719</v>
      </c>
      <c r="AA19" s="134">
        <f t="shared" si="18"/>
        <v>678</v>
      </c>
      <c r="AB19" s="134">
        <f t="shared" si="18"/>
        <v>238</v>
      </c>
      <c r="AC19" s="134">
        <f t="shared" si="18"/>
        <v>3</v>
      </c>
      <c r="AD19" s="134">
        <f t="shared" si="18"/>
        <v>1151</v>
      </c>
      <c r="AE19" s="134">
        <f t="shared" si="18"/>
        <v>1154</v>
      </c>
      <c r="AF19" s="134">
        <f t="shared" si="18"/>
        <v>0</v>
      </c>
      <c r="AG19" s="134">
        <f t="shared" si="18"/>
        <v>220</v>
      </c>
      <c r="AH19" s="134">
        <f t="shared" si="18"/>
        <v>619</v>
      </c>
      <c r="AI19" s="134">
        <f t="shared" si="18"/>
        <v>660</v>
      </c>
      <c r="AJ19" s="134">
        <f t="shared" si="18"/>
        <v>197</v>
      </c>
      <c r="AK19" s="134">
        <f t="shared" si="18"/>
        <v>0</v>
      </c>
      <c r="AL19" s="134">
        <f t="shared" si="18"/>
        <v>1247</v>
      </c>
      <c r="AM19" s="134">
        <f t="shared" si="18"/>
        <v>1244</v>
      </c>
      <c r="AN19" s="213">
        <f t="shared" si="18"/>
        <v>3</v>
      </c>
      <c r="AO19" s="214">
        <v>16</v>
      </c>
      <c r="AP19" s="214">
        <v>15</v>
      </c>
      <c r="AQ19" s="214">
        <v>15</v>
      </c>
      <c r="AR19" s="214">
        <v>15</v>
      </c>
      <c r="AS19" s="156">
        <f t="shared" si="18"/>
        <v>0</v>
      </c>
      <c r="AT19" s="156">
        <f t="shared" si="18"/>
        <v>0</v>
      </c>
      <c r="AU19" s="214"/>
      <c r="AV19" s="215"/>
      <c r="AW19" s="214"/>
      <c r="AX19" s="215"/>
      <c r="AY19" s="133">
        <f>SUBTOTAL(9,AY9:AY18)</f>
        <v>12279</v>
      </c>
      <c r="AZ19" s="134">
        <f>SUBTOTAL(9,AZ9:AZ18)</f>
        <v>40938</v>
      </c>
      <c r="BA19" s="134">
        <f>SUBTOTAL(9,BA9:BA18)</f>
        <v>41064</v>
      </c>
      <c r="BB19" s="134">
        <f>SUBTOTAL(9,BB9:BB18)</f>
        <v>12733</v>
      </c>
      <c r="BC19" s="135">
        <f>SUBTOTAL(9,BC9:BC18)</f>
        <v>7127</v>
      </c>
      <c r="BD19" s="216">
        <f>IF(ISNUMBER(BA19/AZ19),BA19/AZ19," - ")</f>
        <v>1.003077825003664</v>
      </c>
      <c r="BE19" s="213">
        <f>IF(ISNUMBER(BB19/BA19),BB19/BA19, " - ")</f>
        <v>0.31007695304889926</v>
      </c>
      <c r="BF19" s="213">
        <f>IF(ISNUMBER(BC19/BA19),BC19/BA19, " - ")</f>
        <v>0.17355834794467173</v>
      </c>
      <c r="BG19" s="135">
        <f>IF(ISNUMBER((AY19+AZ19)/BA19),(AY19+AZ19)/BA19," - ")</f>
        <v>1.2959526592635886</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CoQ3RBr2H8dhYW3+A5VA5bKor+Yh5d0tMJCc0hJ7FZXFohgsDsSD4dJGXLZAXgRl/wkvUGYrZIxiFnPd0ugYQ==" saltValue="LHO5qKW4J1s5dq84oGOb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vfgYXx8kedniapZB4jzGlULM8BtJ+Me8FZd4vBFSdcL+lu/R9QdkowUvclGMR0OdclraUd9EeUfRaHLAPHeMQ==" saltValue="dUgFzHPKznsePqp7xMJwj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TARRAGONA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246</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682</v>
      </c>
      <c r="O9" s="337"/>
      <c r="P9" s="337"/>
      <c r="Q9" s="229">
        <f>IF(ISNUMBER(Datos!P9),Datos!P9,0)</f>
        <v>4038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3836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223</v>
      </c>
      <c r="AI9" s="337" t="str">
        <f>IF(ISNUMBER(Datos!CD9),Datos!CD9,"-")</f>
        <v>-</v>
      </c>
      <c r="AJ9" s="337" t="str">
        <f>IF(ISNUMBER(Datos!EN9),Datos!EN9," - ")</f>
        <v xml:space="preserve"> - </v>
      </c>
      <c r="AK9" s="337"/>
      <c r="AL9" s="482"/>
      <c r="AM9" s="338">
        <f>IF(ISNUMBER(Datos!R9),Datos!R9," - ")</f>
        <v>11945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2452</v>
      </c>
      <c r="BD9" s="232">
        <f>IF(ISNUMBER(Datos!N9),Datos!N9," - ")</f>
        <v>4865</v>
      </c>
      <c r="BE9" s="232" t="str">
        <f>IF(ISNUMBER(Datos!BW9),Datos!BW9," - ")</f>
        <v xml:space="preserve"> - </v>
      </c>
      <c r="BF9" s="231" t="str">
        <f>IF(ISNUMBER(Datos!BX9),Datos!BX9," - ")</f>
        <v xml:space="preserve"> - </v>
      </c>
      <c r="BG9" s="246">
        <f>IF(ISNUMBER(IF(J_V="SI",Datos!K9/Datos!J9,(Datos!K9+Datos!AA9)/(Datos!J9+Datos!Z9))),IF(J_V="SI",Datos!K9/Datos!J9,(Datos!K9+Datos!AA9)/(Datos!J9+Datos!Z9))," - ")</f>
        <v>0.9515704781061427</v>
      </c>
      <c r="BH9" s="263">
        <f>IF(ISNUMBER(((IF(J_V="SI",Datos!L9/Datos!K9,(Datos!L9+Datos!AB9)/(Datos!K9+Datos!AA9)))*11)/factor_trimestre),((IF(J_V="SI",Datos!L9/Datos!K9,(Datos!L9+Datos!AB9)/(Datos!K9+Datos!AA9)))*11)/factor_trimestre," - ")</f>
        <v>8.3859349593495924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1.7201737205143491E-2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1</v>
      </c>
      <c r="F10" s="228">
        <f>IF(ISNUMBER(Datos!L10+Datos!K10-Datos!J10),Datos!L10+Datos!K10-Datos!J10," - ")</f>
        <v>120</v>
      </c>
      <c r="G10" s="336">
        <f>IF(ISNUMBER(Datos!I10),Datos!I10," - ")</f>
        <v>120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112</v>
      </c>
      <c r="AC10" s="229">
        <f>IF(ISNUMBER(Datos!Q10),Datos!Q10," - ")</f>
        <v>37</v>
      </c>
      <c r="AD10" s="337"/>
      <c r="AE10" s="487"/>
      <c r="AF10" s="335">
        <f>IF(ISNUMBER(Datos!L10),Datos!L10,"-")</f>
        <v>112</v>
      </c>
      <c r="AG10" s="337"/>
      <c r="AH10" s="337"/>
      <c r="AI10" s="337"/>
      <c r="AJ10" s="337"/>
      <c r="AK10" s="337"/>
      <c r="AL10" s="482"/>
      <c r="AM10" s="338">
        <f>IF(ISNUMBER(Datos!R10),Datos!R10," - ")</f>
        <v>179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63</v>
      </c>
      <c r="BD10" s="232">
        <f>IF(ISNUMBER(Datos!N10),Datos!N10," - ")</f>
        <v>35</v>
      </c>
      <c r="BE10" s="232" t="str">
        <f>IF(ISNUMBER(Datos!BW10),Datos!BW10," - ")</f>
        <v xml:space="preserve"> - </v>
      </c>
      <c r="BF10" s="231" t="str">
        <f>IF(ISNUMBER(Datos!BX10),Datos!BX10," - ")</f>
        <v xml:space="preserve"> - </v>
      </c>
      <c r="BG10" s="246">
        <f>IF(ISNUMBER(Datos!K10/Datos!J10),Datos!K10/Datos!J10," - ")</f>
        <v>1.0769230769230769</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1.7045454545454544E-2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246</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37</v>
      </c>
      <c r="O11" s="337"/>
      <c r="P11" s="337"/>
      <c r="Q11" s="229">
        <f>IF(ISNUMBER(Datos!P11),Datos!P11,0)</f>
        <v>238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261</v>
      </c>
      <c r="AD11" s="337"/>
      <c r="AE11" s="487"/>
      <c r="AF11" s="335" t="str">
        <f>IF(ISNUMBER(IF(J_V="SI",Datos!L11,Datos!L11+Datos!AB11)-IF(Monitorios="SI",Datos!CD11,0)),
                          IF(J_V="SI",Datos!L11,Datos!L11+Datos!AB11)-IF(Monitorios="SI",Datos!CD11,0),
                          " - ")</f>
        <v xml:space="preserve"> - </v>
      </c>
      <c r="AG11" s="337"/>
      <c r="AH11" s="337">
        <f>IF(ISNUMBER(Datos!AB11),Datos!AB11,"-")</f>
        <v>15</v>
      </c>
      <c r="AI11" s="337"/>
      <c r="AJ11" s="337"/>
      <c r="AK11" s="337"/>
      <c r="AL11" s="482"/>
      <c r="AM11" s="338">
        <f>IF(ISNUMBER(Datos!R11),Datos!R11," - ")</f>
        <v>753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582</v>
      </c>
      <c r="BD11" s="232">
        <f>IF(ISNUMBER(Datos!N11),Datos!N11," - ")</f>
        <v>338</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0.95426356589147288</v>
      </c>
      <c r="BH11" s="263">
        <f>IF(ISNUMBER(((IF(J_V="SI",Datos!L11/Datos!K11,(Datos!L11+Datos!AB11)/(Datos!K11+Datos!AA11)))*11)/factor_trimestre),((IF(J_V="SI",Datos!L11/Datos!K11,(Datos!L11+Datos!AB11)/(Datos!K11+Datos!AA11)))*11)/factor_trimestre," - ")</f>
        <v>6.3354995938261576</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-2.9639175257731958E-2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120</v>
      </c>
      <c r="G13" s="901">
        <f t="shared" si="0"/>
        <v>120</v>
      </c>
      <c r="H13" s="902">
        <f t="shared" si="0"/>
        <v>0</v>
      </c>
      <c r="I13" s="901">
        <f t="shared" si="0"/>
        <v>0</v>
      </c>
      <c r="J13" s="870">
        <f t="shared" si="0"/>
        <v>0</v>
      </c>
      <c r="K13" s="870">
        <f t="shared" si="0"/>
        <v>0</v>
      </c>
      <c r="L13" s="902">
        <f t="shared" si="0"/>
        <v>0</v>
      </c>
      <c r="M13" s="902">
        <f t="shared" si="0"/>
        <v>0</v>
      </c>
      <c r="N13" s="902">
        <f t="shared" si="0"/>
        <v>719</v>
      </c>
      <c r="O13" s="903">
        <f t="shared" si="0"/>
        <v>0</v>
      </c>
      <c r="P13" s="903">
        <f t="shared" si="0"/>
        <v>0</v>
      </c>
      <c r="Q13" s="902">
        <f t="shared" si="0"/>
        <v>4316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112</v>
      </c>
      <c r="AC13" s="902">
        <f t="shared" si="1"/>
        <v>4134</v>
      </c>
      <c r="AD13" s="902">
        <f t="shared" si="1"/>
        <v>0</v>
      </c>
      <c r="AE13" s="902">
        <f t="shared" si="1"/>
        <v>0</v>
      </c>
      <c r="AF13" s="902">
        <f t="shared" si="1"/>
        <v>112</v>
      </c>
      <c r="AG13" s="902">
        <f t="shared" si="1"/>
        <v>0</v>
      </c>
      <c r="AH13" s="902">
        <f t="shared" si="1"/>
        <v>238</v>
      </c>
      <c r="AI13" s="902">
        <f t="shared" si="1"/>
        <v>0</v>
      </c>
      <c r="AJ13" s="902">
        <f t="shared" si="1"/>
        <v>0</v>
      </c>
      <c r="AK13" s="902">
        <f t="shared" si="1"/>
        <v>0</v>
      </c>
      <c r="AL13" s="902">
        <f t="shared" si="1"/>
        <v>0</v>
      </c>
      <c r="AM13" s="902">
        <f t="shared" si="1"/>
        <v>12877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3097</v>
      </c>
      <c r="BD13" s="902">
        <f t="shared" si="1"/>
        <v>5238</v>
      </c>
      <c r="BE13" s="902">
        <f t="shared" si="1"/>
        <v>0</v>
      </c>
      <c r="BF13" s="902">
        <f t="shared" si="1"/>
        <v>0</v>
      </c>
      <c r="BG13" s="902">
        <f>IF(ISNUMBER(Datos!K13/Datos!J13),Datos!K13/Datos!J13," - ")</f>
        <v>0.95323873244614366</v>
      </c>
      <c r="BH13" s="906">
        <f>IF(ISNUMBER(((Datos!L13/Datos!K13)*11)/factor_trimestre),((Datos!L13/Datos!K13)*11)/factor_trimestre," - ")</f>
        <v>8.4504435017354425</v>
      </c>
      <c r="BI13" s="902">
        <f>IF(ISNUMBER('Resol  Asuntos'!D13/NºAsuntos!G13),'Resol  Asuntos'!D13/NºAsuntos!G13," - ")</f>
        <v>0.22700285860881039</v>
      </c>
      <c r="BJ13" s="902" t="str">
        <f>IF(ISNUMBER(Datos!CI13/Datos!CJ13),Datos!CI13/Datos!CJ13," - ")</f>
        <v xml:space="preserve"> - </v>
      </c>
      <c r="BK13" s="902">
        <f>SUBTOTAL(9,BK8:BK12)</f>
        <v>0</v>
      </c>
      <c r="BL13" s="902">
        <f>IF(ISNUMBER((I13-AB13+L13)/(F13)),(I13-AB13+L13)/(F13)," - ")</f>
        <v>-0.93333333333333335</v>
      </c>
      <c r="BM13" s="907">
        <f>SUBTOTAL(9,BM9:BM12)</f>
        <v>4.6080164928660808E-3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396</v>
      </c>
      <c r="C15" s="603" t="str">
        <f>Datos!A15</f>
        <v xml:space="preserve">Jdos. Instrucción                               </v>
      </c>
      <c r="D15" s="604"/>
      <c r="E15" s="1168">
        <f>IF(ISNUMBER(Datos!AQ15),Datos!AQ15," - ")</f>
        <v>6</v>
      </c>
      <c r="F15" s="598">
        <f>IF(ISNUMBER(AF15+AB15-Datos!J15-L15),AF15+AB15-Datos!J15-L15," - ")</f>
        <v>3438</v>
      </c>
      <c r="G15" s="601">
        <f>IF(ISNUMBER(IF(D_I="SI",Datos!I15,Datos!I15+Datos!AC15)),IF(D_I="SI",Datos!I15,Datos!I15+Datos!AC15)," - ")</f>
        <v>2946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581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24938</v>
      </c>
      <c r="AC15" s="229">
        <f>IF(ISNUMBER(Datos!Q15),Datos!Q15," - ")</f>
        <v>688</v>
      </c>
      <c r="AD15" s="337"/>
      <c r="AE15" s="487"/>
      <c r="AF15" s="599">
        <f>IF(ISNUMBER(IF(D_I="SI",Datos!L15,Datos!L15+Datos!AF15)),IF(D_I="SI",Datos!L15,Datos!L15+Datos!AF15)," - ")</f>
        <v>3344</v>
      </c>
      <c r="AG15" s="337"/>
      <c r="AH15" s="337"/>
      <c r="AI15" s="337"/>
      <c r="AJ15" s="337"/>
      <c r="AK15" s="337"/>
      <c r="AL15" s="482"/>
      <c r="AM15" s="338">
        <f>IF(ISNUMBER(Datos!R15),Datos!R15," - ")</f>
        <v>523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1980</v>
      </c>
      <c r="BD15" s="232">
        <f>IF(ISNUMBER(Datos!N15),Datos!N15," - ")</f>
        <v>17289</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1.0037836097246819</v>
      </c>
      <c r="BH15" s="263">
        <f>IF(ISNUMBER(((IF(D_I="SI",Datos!L15/Datos!K15,(Datos!L15+Datos!AF15)/(Datos!K15+Datos!AE15)))*11)/factor_trimestre),((IF(D_I="SI",Datos!L15/Datos!K15,(Datos!L15+Datos!AF15)/(Datos!K15+Datos!AE15)))*11)/factor_trimestre," - ")</f>
        <v>1.4750180447509824</v>
      </c>
      <c r="BI15" s="246">
        <f>IF(ISNUMBER('Resol  Asuntos'!D15/NºAsuntos!G15),'Resol  Asuntos'!D15/NºAsuntos!G15," - ")</f>
        <v>7.9396904322720341E-2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192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1150</v>
      </c>
      <c r="AC17" s="229">
        <f>IF(ISNUMBER(Datos!Q17),Datos!Q17," - ")</f>
        <v>2</v>
      </c>
      <c r="AD17" s="337"/>
      <c r="AE17" s="487"/>
      <c r="AF17" s="335">
        <f>IF(ISNUMBER(Datos!L17),Datos!L17,"-")</f>
        <v>236</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121</v>
      </c>
      <c r="BD17" s="232">
        <f>IF(ISNUMBER(Datos!N17),Datos!N17," - ")</f>
        <v>500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0.9631490787269682</v>
      </c>
      <c r="BH17" s="263">
        <f>IF(ISNUMBER(((IF(D_I="SI",Datos!L17/Datos!K17,(Datos!L17+Datos!AF17)/(Datos!K17+Datos!AE17)))*11)/factor_trimestre),((IF(D_I="SI",Datos!L17/Datos!K17,(Datos!L17+Datos!AF17)/(Datos!K17+Datos!AE17)))*11)/factor_trimestre," - ")</f>
        <v>2.2573913043478262</v>
      </c>
      <c r="BI17" s="246">
        <f>IF(ISNUMBER('Resol  Asuntos'!D17/NºAsuntos!G17),'Resol  Asuntos'!D17/NºAsuntos!G17," - ")</f>
        <v>0.10521739130434783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3438</v>
      </c>
      <c r="G18" s="901">
        <f>SUBTOTAL(9,G15:G17)</f>
        <v>3138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586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26088</v>
      </c>
      <c r="AC18" s="902">
        <f t="shared" si="4"/>
        <v>690</v>
      </c>
      <c r="AD18" s="902">
        <f t="shared" si="4"/>
        <v>0</v>
      </c>
      <c r="AE18" s="902">
        <f t="shared" si="4"/>
        <v>0</v>
      </c>
      <c r="AF18" s="902">
        <f t="shared" si="4"/>
        <v>3580</v>
      </c>
      <c r="AG18" s="902">
        <f t="shared" si="4"/>
        <v>0</v>
      </c>
      <c r="AH18" s="902">
        <f t="shared" si="4"/>
        <v>0</v>
      </c>
      <c r="AI18" s="902">
        <f t="shared" si="4"/>
        <v>0</v>
      </c>
      <c r="AJ18" s="902">
        <f t="shared" si="4"/>
        <v>0</v>
      </c>
      <c r="AK18" s="902">
        <f t="shared" si="4"/>
        <v>0</v>
      </c>
      <c r="AL18" s="902">
        <f t="shared" si="4"/>
        <v>0</v>
      </c>
      <c r="AM18" s="902">
        <f t="shared" si="4"/>
        <v>527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2101</v>
      </c>
      <c r="BD18" s="902">
        <f t="shared" si="4"/>
        <v>17789</v>
      </c>
      <c r="BE18" s="902">
        <f t="shared" si="4"/>
        <v>0</v>
      </c>
      <c r="BF18" s="902">
        <f t="shared" si="4"/>
        <v>0</v>
      </c>
      <c r="BG18" s="902">
        <f>IF(ISNUMBER(Datos!K18/Datos!J18),Datos!K18/Datos!J18," - ")</f>
        <v>1.0019202703740686</v>
      </c>
      <c r="BH18" s="906">
        <f>IF(ISNUMBER(((Datos!L18/Datos!K18)*11)/factor_trimestre),((Datos!L18/Datos!K18)*11)/factor_trimestre," - ")</f>
        <v>1.50950628641521</v>
      </c>
      <c r="BI18" s="902">
        <f>SUBTOTAL(9,BI15:BI17)</f>
        <v>0.18461429562706816</v>
      </c>
      <c r="BJ18" s="902">
        <f>SUBTOTAL(9,BJ15:BJ17)</f>
        <v>0</v>
      </c>
      <c r="BK18" s="902">
        <f>SUBTOTAL(9,BK15:BK17)</f>
        <v>0</v>
      </c>
      <c r="BL18" s="902">
        <f>IF(ISNUMBER((I18-AB18+L18)/(F18)),(I18-AB18+L18)/(F18)," - ")</f>
        <v>-7.5881326352530545</v>
      </c>
      <c r="BM18" s="908">
        <f>IF(ISNUMBER((Datos!P18-Datos!Q18)/(Datos!R18-Datos!P18+Datos!Q18)),(Datos!P18-Datos!Q18)/(Datos!R18-Datos!P18+Datos!Q18)," - ")</f>
        <v>-0.16481774960380349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3558</v>
      </c>
      <c r="G19" s="823">
        <f t="shared" si="6"/>
        <v>3258</v>
      </c>
      <c r="H19" s="825">
        <f t="shared" si="6"/>
        <v>0</v>
      </c>
      <c r="I19" s="823">
        <f t="shared" si="6"/>
        <v>0</v>
      </c>
      <c r="J19" s="825">
        <f t="shared" si="6"/>
        <v>0</v>
      </c>
      <c r="K19" s="825">
        <f t="shared" si="6"/>
        <v>0</v>
      </c>
      <c r="L19" s="884">
        <f t="shared" si="6"/>
        <v>0</v>
      </c>
      <c r="M19" s="884">
        <f t="shared" si="6"/>
        <v>0</v>
      </c>
      <c r="N19" s="884">
        <f t="shared" si="6"/>
        <v>719</v>
      </c>
      <c r="O19" s="884">
        <f t="shared" si="6"/>
        <v>0</v>
      </c>
      <c r="P19" s="884">
        <f t="shared" si="6"/>
        <v>0</v>
      </c>
      <c r="Q19" s="825">
        <f t="shared" si="6"/>
        <v>4902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26200</v>
      </c>
      <c r="AC19" s="824">
        <f t="shared" si="7"/>
        <v>4824</v>
      </c>
      <c r="AD19" s="824">
        <f t="shared" si="7"/>
        <v>0</v>
      </c>
      <c r="AE19" s="824">
        <f t="shared" si="7"/>
        <v>0</v>
      </c>
      <c r="AF19" s="831">
        <f t="shared" si="7"/>
        <v>3692</v>
      </c>
      <c r="AG19" s="831">
        <f t="shared" si="7"/>
        <v>0</v>
      </c>
      <c r="AH19" s="831">
        <f t="shared" si="7"/>
        <v>238</v>
      </c>
      <c r="AI19" s="831">
        <f t="shared" si="7"/>
        <v>0</v>
      </c>
      <c r="AJ19" s="824">
        <f t="shared" si="7"/>
        <v>0</v>
      </c>
      <c r="AK19" s="831">
        <f t="shared" si="7"/>
        <v>0</v>
      </c>
      <c r="AL19" s="831">
        <f t="shared" si="7"/>
        <v>0</v>
      </c>
      <c r="AM19" s="831">
        <f t="shared" si="7"/>
        <v>13404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5198</v>
      </c>
      <c r="BD19" s="823">
        <f t="shared" si="7"/>
        <v>23027</v>
      </c>
      <c r="BE19" s="823">
        <f t="shared" si="7"/>
        <v>0</v>
      </c>
      <c r="BF19" s="833">
        <f t="shared" si="7"/>
        <v>0</v>
      </c>
      <c r="BG19" s="918">
        <f>IF(ISNUMBER(Datos!K19/Datos!J19),Datos!K19/Datos!J19," - ")</f>
        <v>0.98521657963117137</v>
      </c>
      <c r="BH19" s="918">
        <f>IF(ISNUMBER(((Datos!L19/Datos!K19)*11)/factor_trimestre),((Datos!L19/Datos!K19)*11)/factor_trimestre," - ")</f>
        <v>3.813791514096228</v>
      </c>
      <c r="BI19" s="816">
        <f>IF(ISNUMBER(Datos!J19/Datos!I19),Datos!J19/Datos!I19," - ")</f>
        <v>3.1620134014039567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-7.3636874648679029</v>
      </c>
      <c r="BM19" s="892">
        <f>IF(ISNUMBER((Datos!P19-Datos!Q19+R19)/(Datos!R19-Datos!P19+Datos!Q19-R19)),(Datos!P19-Datos!Q19+R19)/(Datos!R19-Datos!P19+Datos!Q19-R19)," - ")</f>
        <v>5.8532192705988296E-3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1303.2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3.6094013046179527</v>
      </c>
      <c r="F21" s="554">
        <f>IF(ISNUMBER(STDEV(F8:F18)),STDEV(F8:F18),"-")</f>
        <v>1915.6481931711783</v>
      </c>
      <c r="G21" s="555">
        <f>IF(ISNUMBER(STDEV(G8:G18)),STDEV(G8:G18),"-")</f>
        <v>1589.022718528593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13735.748760078572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1214.9144590699143</v>
      </c>
      <c r="BD21" s="554"/>
      <c r="BE21" s="554">
        <f>IF(ISNUMBER(STDEV(BE8:BE18)),STDEV(BE8:BE18),"-")</f>
        <v>0</v>
      </c>
      <c r="BF21" s="559">
        <f>IF(ISNUMBER(STDEV(BF8:BF18)),STDEV(BF8:BF18),"-")</f>
        <v>0</v>
      </c>
      <c r="BG21" s="778">
        <f>IF(ISNUMBER(STDEV(BG8:BG18)),STDEV(BG8:BG18),"-")</f>
        <v>4.5868683567294156E-2</v>
      </c>
      <c r="BH21" s="779">
        <f>IF(ISNUMBER(STDEV(BH8:BH18)),STDEV(BH8:BH18),"-")</f>
        <v>3.8837597671510857</v>
      </c>
      <c r="BI21" s="252">
        <f>IF(ISNUMBER(STDEV(BI8:BI18)),STDEV(BI8:BI18),"-")</f>
        <v>6.8591346305384798E-2</v>
      </c>
      <c r="BJ21" s="233" t="str">
        <f>IF(ISNUMBER(BL21/BM21),BL21/BM21," - ")</f>
        <v xml:space="preserve"> - </v>
      </c>
      <c r="BK21" s="578"/>
      <c r="BL21" s="562">
        <f>IF(ISNUMBER(STDEV(BL8:BL18)),STDEV(BL8:BL18),"-")</f>
        <v>4.7056537138229384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Y1emVTewpU1Oirki23XXCzumBISqC/tLAT91gYRQp0VnbqLvA6eL6MhmHIOEMRKcFZGRwPMjBUXp3BHzXZH4w==" saltValue="xR/+KzF/ymKKG8hx/Xc4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TARRAGONA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4038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3836</v>
      </c>
      <c r="AA9" s="335" t="str">
        <f>IF(ISNUMBER(IF(J_V="SI",Datos!L9,Datos!L9+Datos!AB9)-IF(Monitorios="SI",Datos!CD9,0)),
                          IF(J_V="SI",Datos!L9,Datos!L9+Datos!AB9)-IF(Monitorios="SI",Datos!CD9,0),
                          " - ")</f>
        <v xml:space="preserve"> - </v>
      </c>
      <c r="AB9" s="337"/>
      <c r="AC9" s="337"/>
      <c r="AD9" s="487"/>
      <c r="AE9" s="487">
        <f>IF(ISNUMBER(Datos!R9),Datos!R9," - ")</f>
        <v>11945</v>
      </c>
      <c r="AF9" s="232" t="str">
        <f>IF(ISNUMBER(Datos!BV9),Datos!BV9," - ")</f>
        <v xml:space="preserve"> - </v>
      </c>
      <c r="AG9" s="228" t="str">
        <f>IF(ISNUMBER(Datos!DV9),Datos!DV9," - ")</f>
        <v xml:space="preserve"> - </v>
      </c>
      <c r="AH9" s="301"/>
      <c r="AI9" s="230"/>
      <c r="AJ9" s="228">
        <f>IF(ISNUMBER(Datos!M9),Datos!M9," - ")</f>
        <v>2452</v>
      </c>
      <c r="AK9" s="232">
        <f>IF(ISNUMBER(Datos!N9),Datos!N9," - ")</f>
        <v>4865</v>
      </c>
      <c r="AL9" s="232" t="str">
        <f>IF(ISNUMBER(Datos!BW9),Datos!BW9," - ")</f>
        <v xml:space="preserve"> - </v>
      </c>
      <c r="AM9" s="231" t="str">
        <f>IF(ISNUMBER(Datos!BX9),Datos!BX9," - ")</f>
        <v xml:space="preserve"> - </v>
      </c>
      <c r="AN9" s="246"/>
      <c r="AO9" s="263">
        <f>IF(ISNUMBER(((NºAsuntos!I9/NºAsuntos!G9)*11)/factor_trimestre),((NºAsuntos!I9/NºAsuntos!G9)*11)/factor_trimestre," - ")</f>
        <v>8.3859349593495924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1.7201737205143491E-2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1</v>
      </c>
      <c r="F10" s="228">
        <f>IF(ISNUMBER(Datos!L10+Datos!K10-Datos!J10),Datos!L10+Datos!K10-Datos!J10," - ")</f>
        <v>120</v>
      </c>
      <c r="G10" s="228">
        <f>IF(ISNUMBER(Datos!I10),Datos!I10," - ")</f>
        <v>120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112</v>
      </c>
      <c r="Z10" s="622">
        <f>IF(ISNUMBER(Datos!Q10),Datos!Q10," - ")</f>
        <v>37</v>
      </c>
      <c r="AA10" s="335">
        <f>IF(ISNUMBER(Datos!L10),Datos!L10,"-")</f>
        <v>112</v>
      </c>
      <c r="AB10" s="337"/>
      <c r="AC10" s="337"/>
      <c r="AD10" s="487"/>
      <c r="AE10" s="487">
        <f>IF(ISNUMBER(Datos!R10),Datos!R10," - ")</f>
        <v>179</v>
      </c>
      <c r="AF10" s="232" t="str">
        <f>IF(ISNUMBER(Datos!BV10),Datos!BV10," - ")</f>
        <v xml:space="preserve"> - </v>
      </c>
      <c r="AG10" s="228" t="str">
        <f>IF(ISNUMBER(Datos!DV10),Datos!DV10," - ")</f>
        <v xml:space="preserve"> - </v>
      </c>
      <c r="AH10" s="301"/>
      <c r="AI10" s="230"/>
      <c r="AJ10" s="228">
        <f>IF(ISNUMBER(Datos!M10),Datos!M10," - ")</f>
        <v>63</v>
      </c>
      <c r="AK10" s="232">
        <f>IF(ISNUMBER(Datos!N10),Datos!N10," - ")</f>
        <v>35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1.7045454545454544E-2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246</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238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261</v>
      </c>
      <c r="AA11" s="335" t="str">
        <f>IF(ISNUMBER(IF(J_V="SI",Datos!L11,Datos!L11+Datos!AB11)-IF(Monitorios="SI",Datos!CD11,0)),
                          IF(J_V="SI",Datos!L11,Datos!L11+Datos!AB11)-IF(Monitorios="SI",Datos!CD11,0),
                          " - ")</f>
        <v xml:space="preserve"> - </v>
      </c>
      <c r="AB11" s="337"/>
      <c r="AC11" s="337"/>
      <c r="AD11" s="487"/>
      <c r="AE11" s="487">
        <f>IF(ISNUMBER(Datos!R11),Datos!R11," - ")</f>
        <v>753</v>
      </c>
      <c r="AF11" s="232" t="str">
        <f>IF(ISNUMBER(Datos!BV11),Datos!BV11," - ")</f>
        <v xml:space="preserve"> - </v>
      </c>
      <c r="AG11" s="228" t="str">
        <f>IF(ISNUMBER(Datos!DV11),Datos!DV11," - ")</f>
        <v xml:space="preserve"> - </v>
      </c>
      <c r="AH11" s="301"/>
      <c r="AI11" s="230"/>
      <c r="AJ11" s="228">
        <f>IF(ISNUMBER(Datos!M11),Datos!M11," - ")</f>
        <v>582</v>
      </c>
      <c r="AK11" s="232">
        <f>IF(ISNUMBER(Datos!N11),Datos!N11," - ")</f>
        <v>338</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6.3354995938261576</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-2.9639175257731958E-2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120</v>
      </c>
      <c r="G13" s="901">
        <f>SUBTOTAL(9,G8:G12)</f>
        <v>120</v>
      </c>
      <c r="H13" s="911"/>
      <c r="I13" s="901">
        <f t="shared" ref="I13:N13" si="0">SUBTOTAL(9,I8:I12)</f>
        <v>0</v>
      </c>
      <c r="J13" s="870">
        <f t="shared" si="0"/>
        <v>0</v>
      </c>
      <c r="K13" s="911">
        <f t="shared" si="0"/>
        <v>0</v>
      </c>
      <c r="L13" s="911">
        <f t="shared" si="0"/>
        <v>0</v>
      </c>
      <c r="M13" s="911">
        <f t="shared" si="0"/>
        <v>0</v>
      </c>
      <c r="N13" s="911">
        <f t="shared" si="0"/>
        <v>4316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112</v>
      </c>
      <c r="Z13" s="910">
        <f t="shared" si="2"/>
        <v>4134</v>
      </c>
      <c r="AA13" s="903">
        <f t="shared" si="2"/>
        <v>112</v>
      </c>
      <c r="AB13" s="903">
        <f t="shared" si="2"/>
        <v>0</v>
      </c>
      <c r="AC13" s="903">
        <f t="shared" si="2"/>
        <v>0</v>
      </c>
      <c r="AD13" s="903">
        <f t="shared" si="2"/>
        <v>0</v>
      </c>
      <c r="AE13" s="903">
        <f t="shared" si="2"/>
        <v>12877</v>
      </c>
      <c r="AF13" s="911">
        <f t="shared" si="2"/>
        <v>0</v>
      </c>
      <c r="AG13" s="911">
        <f t="shared" si="2"/>
        <v>0</v>
      </c>
      <c r="AH13" s="911">
        <f t="shared" si="2"/>
        <v>0</v>
      </c>
      <c r="AI13" s="911">
        <f t="shared" si="2"/>
        <v>0</v>
      </c>
      <c r="AJ13" s="911">
        <f t="shared" si="2"/>
        <v>3097</v>
      </c>
      <c r="AK13" s="911">
        <f t="shared" si="2"/>
        <v>5238</v>
      </c>
      <c r="AL13" s="911">
        <f t="shared" si="2"/>
        <v>0</v>
      </c>
      <c r="AM13" s="911">
        <f t="shared" si="2"/>
        <v>0</v>
      </c>
      <c r="AN13" s="911">
        <f t="shared" si="2"/>
        <v>0</v>
      </c>
      <c r="AO13" s="907">
        <f>IF(ISNUMBER(((NºAsuntos!I13/NºAsuntos!G13)*11)/factor_trimestre),((NºAsuntos!I13/NºAsuntos!G13)*11)/factor_trimestre," - ")</f>
        <v>8.2223851059151212</v>
      </c>
      <c r="AP13" s="913" t="str">
        <f>IF(ISNUMBER(Datos!CI13/Datos!CJ13),Datos!CI13/Datos!CJ13," - ")</f>
        <v xml:space="preserve"> - </v>
      </c>
      <c r="AQ13" s="931">
        <f t="shared" ref="AQ13:AV13" si="3">SUBTOTAL(9,AQ9:AQ12)</f>
        <v>0</v>
      </c>
      <c r="AR13" s="931">
        <f t="shared" si="3"/>
        <v>4.6080164928660808E-3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396</v>
      </c>
      <c r="C15" s="163" t="str">
        <f>Datos!A15</f>
        <v xml:space="preserve">Jdos. Instrucción                               </v>
      </c>
      <c r="D15" s="505"/>
      <c r="E15" s="1171">
        <f>IF(ISNUMBER(Datos!AQ15),Datos!AQ15," - ")</f>
        <v>6</v>
      </c>
      <c r="F15" s="336">
        <f>IF(ISNUMBER(AA15+Y15-Datos!J15-K15),AA15+Y15-Datos!J15-K15," - ")</f>
        <v>3438</v>
      </c>
      <c r="G15" s="228">
        <f>IF(ISNUMBER(IF(D_I="SI",Datos!I15,Datos!I15+Datos!AC15)),IF(D_I="SI",Datos!I15,Datos!I15+Datos!AC15)," - ")</f>
        <v>2946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581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24938</v>
      </c>
      <c r="Z15" s="622">
        <f>IF(ISNUMBER(Datos!Q15),Datos!Q15," - ")</f>
        <v>688</v>
      </c>
      <c r="AA15" s="335">
        <f>IF(ISNUMBER(IF(D_I="SI",Datos!L15,Datos!L15+Datos!AF15)),IF(D_I="SI",Datos!L15,Datos!L15+Datos!AF15)," - ")</f>
        <v>3344</v>
      </c>
      <c r="AB15" s="337"/>
      <c r="AC15" s="337"/>
      <c r="AD15" s="487"/>
      <c r="AE15" s="487">
        <f>IF(ISNUMBER(Datos!R15),Datos!R15," - ")</f>
        <v>523</v>
      </c>
      <c r="AF15" s="232" t="str">
        <f>IF(ISNUMBER(Datos!BV15),Datos!BV15," - ")</f>
        <v xml:space="preserve"> - </v>
      </c>
      <c r="AG15" s="228"/>
      <c r="AH15" s="301"/>
      <c r="AI15" s="230"/>
      <c r="AJ15" s="228">
        <f>IF(ISNUMBER(Datos!M15),Datos!M15," - ")</f>
        <v>1980</v>
      </c>
      <c r="AK15" s="232">
        <f>IF(ISNUMBER(Datos!N15),Datos!N15," - ")</f>
        <v>17289</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1.4750180447509824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192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1150</v>
      </c>
      <c r="Z17" s="622">
        <f>IF(ISNUMBER(Datos!Q17),Datos!Q17," - ")</f>
        <v>2</v>
      </c>
      <c r="AA17" s="335">
        <f>IF(ISNUMBER(Datos!L17),Datos!L17,"-")</f>
        <v>236</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121</v>
      </c>
      <c r="AK17" s="232">
        <f>IF(ISNUMBER(Datos!N17),Datos!N17," - ")</f>
        <v>500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2.2573913043478262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3438</v>
      </c>
      <c r="G18" s="901">
        <f>SUBTOTAL(9,G15:G17)</f>
        <v>3138</v>
      </c>
      <c r="H18" s="935">
        <f>SUBTOTAL(9,H15:H17)</f>
        <v>0</v>
      </c>
      <c r="I18" s="914">
        <f>SUBTOTAL(9,I15:I17)</f>
        <v>0</v>
      </c>
      <c r="J18" s="870">
        <f>SUBTOTAL(9,J14:J17)</f>
        <v>0</v>
      </c>
      <c r="K18" s="935">
        <f t="shared" ref="K18:S18" si="4">SUBTOTAL(9,K15:K17)</f>
        <v>0</v>
      </c>
      <c r="L18" s="935">
        <f t="shared" si="4"/>
        <v>0</v>
      </c>
      <c r="M18" s="935">
        <f t="shared" si="4"/>
        <v>0</v>
      </c>
      <c r="N18" s="935">
        <f t="shared" si="4"/>
        <v>586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26088</v>
      </c>
      <c r="Z18" s="935">
        <f t="shared" si="5"/>
        <v>690</v>
      </c>
      <c r="AA18" s="935">
        <f t="shared" si="5"/>
        <v>3580</v>
      </c>
      <c r="AB18" s="935">
        <f t="shared" si="5"/>
        <v>0</v>
      </c>
      <c r="AC18" s="935">
        <f t="shared" si="5"/>
        <v>0</v>
      </c>
      <c r="AD18" s="935">
        <f t="shared" si="5"/>
        <v>0</v>
      </c>
      <c r="AE18" s="935">
        <f t="shared" si="5"/>
        <v>527</v>
      </c>
      <c r="AF18" s="935">
        <f t="shared" si="5"/>
        <v>0</v>
      </c>
      <c r="AG18" s="935">
        <f t="shared" si="5"/>
        <v>0</v>
      </c>
      <c r="AH18" s="935">
        <f t="shared" si="5"/>
        <v>0</v>
      </c>
      <c r="AI18" s="935">
        <f t="shared" si="5"/>
        <v>0</v>
      </c>
      <c r="AJ18" s="935">
        <f t="shared" si="5"/>
        <v>2101</v>
      </c>
      <c r="AK18" s="935">
        <f t="shared" si="5"/>
        <v>17789</v>
      </c>
      <c r="AL18" s="935">
        <f t="shared" si="5"/>
        <v>0</v>
      </c>
      <c r="AM18" s="935">
        <f t="shared" si="5"/>
        <v>0</v>
      </c>
      <c r="AN18" s="935">
        <f t="shared" si="5"/>
        <v>0</v>
      </c>
      <c r="AO18" s="937">
        <f>IF(ISNUMBER(((NºAsuntos!I18/NºAsuntos!G18)*11)/factor_trimestre),((NºAsuntos!I18/NºAsuntos!G18)*11)/factor_trimestre," - ")</f>
        <v>1.50950628641521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3558</v>
      </c>
      <c r="G19" s="823">
        <f t="shared" si="7"/>
        <v>3258</v>
      </c>
      <c r="H19" s="824">
        <f t="shared" si="7"/>
        <v>0</v>
      </c>
      <c r="I19" s="823">
        <f t="shared" si="7"/>
        <v>0</v>
      </c>
      <c r="J19" s="825">
        <f t="shared" si="7"/>
        <v>0</v>
      </c>
      <c r="K19" s="823">
        <f t="shared" si="7"/>
        <v>0</v>
      </c>
      <c r="L19" s="826">
        <f t="shared" si="7"/>
        <v>0</v>
      </c>
      <c r="M19" s="823">
        <f t="shared" si="7"/>
        <v>0</v>
      </c>
      <c r="N19" s="824">
        <f t="shared" si="7"/>
        <v>4902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26200</v>
      </c>
      <c r="Z19" s="830">
        <f t="shared" si="8"/>
        <v>4824</v>
      </c>
      <c r="AA19" s="831">
        <f t="shared" si="8"/>
        <v>3692</v>
      </c>
      <c r="AB19" s="831">
        <f t="shared" si="8"/>
        <v>0</v>
      </c>
      <c r="AC19" s="831">
        <f t="shared" si="8"/>
        <v>0</v>
      </c>
      <c r="AD19" s="832">
        <f t="shared" si="8"/>
        <v>0</v>
      </c>
      <c r="AE19" s="832">
        <f t="shared" si="8"/>
        <v>13404</v>
      </c>
      <c r="AF19" s="833">
        <f t="shared" si="8"/>
        <v>0</v>
      </c>
      <c r="AG19" s="834">
        <f t="shared" si="8"/>
        <v>0</v>
      </c>
      <c r="AH19" s="835">
        <f t="shared" si="8"/>
        <v>0</v>
      </c>
      <c r="AI19" s="833">
        <f t="shared" si="8"/>
        <v>0</v>
      </c>
      <c r="AJ19" s="823">
        <f t="shared" si="8"/>
        <v>5198</v>
      </c>
      <c r="AK19" s="823">
        <f t="shared" si="8"/>
        <v>23027</v>
      </c>
      <c r="AL19" s="823">
        <f t="shared" si="8"/>
        <v>0</v>
      </c>
      <c r="AM19" s="836">
        <f t="shared" si="8"/>
        <v>0</v>
      </c>
      <c r="AN19" s="826">
        <f>IF(ISNUMBER(Datos!K19/Datos!J19),Datos!K19/Datos!J19," - ")</f>
        <v>0.98521657963117137</v>
      </c>
      <c r="AO19" s="826">
        <f>IF(ISNUMBER(FIND("06",Criterios!A8,1)),(IF(ISNUMBER(((Datos!R19/Datos!Q19)*11)/factor_trimestre),((Datos!R19/Datos!Q19)*11)/factor_trimestre," - ")),(IF(ISNUMBER(((Datos!L19/Datos!K19)*11)/factor_trimestre),((Datos!L19/Datos!K19)*11)/factor_trimestre," - ")))</f>
        <v>3.813791514096228</v>
      </c>
      <c r="AP19" s="837" t="str">
        <f>IF(ISNUMBER(Datos!CI19/Datos!CJ19),Datos!CI19/Datos!CJ19," - ")</f>
        <v xml:space="preserve"> - </v>
      </c>
      <c r="AQ19" s="837">
        <f>IF(OR(ISNUMBER(FIND("01",Criterios!A8,1)),ISNUMBER(FIND("02",Criterios!A8,1)),ISNUMBER(FIND("03",Criterios!A8,1)),ISNUMBER(FIND("04",Criterios!A8,1))),(J19-Y19+K19)/(F19-K19),(I19-Y19+K19)/(F19-K19))</f>
        <v>-7.3636874648679029</v>
      </c>
      <c r="AR19" s="837">
        <f>IF(ISNUMBER((Datos!P19-Datos!Q19+O19)/(Datos!R19-Datos!P19+Datos!Q19-O19)),(Datos!P19-Datos!Q19+O19)/(Datos!R19-Datos!P19+Datos!Q19-O19)," - ")</f>
        <v>5.8532192705988296E-3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1303.2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1915.6481931711783</v>
      </c>
      <c r="G21" s="555">
        <f>IF(ISNUMBER(STDEV(G8:G18)),STDEV(G8:G18),"-")</f>
        <v>1589.022718528593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1214.9144590699143</v>
      </c>
      <c r="AK21" s="255"/>
      <c r="AL21" s="255">
        <f>IF(ISNUMBER(STDEV(AL8:AL18)),STDEV(AL8:AL18),"-")</f>
        <v>0</v>
      </c>
      <c r="AM21" s="257">
        <f>IF(ISNUMBER(STDEV(AM8:AM18)),STDEV(AM8:AM18),"-")</f>
        <v>0</v>
      </c>
      <c r="AN21" s="542">
        <f>IF(ISNUMBER(STDEV(AN8:AN18)),STDEV(AN8:AN18),"-")</f>
        <v>0</v>
      </c>
      <c r="AO21" s="543">
        <f>IF(ISNUMBER(STDEV(AO8:AO18)),STDEV(AO8:AO18),"-")</f>
        <v>3.8570263949791452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6JnwX+eHr6n6FJDGUW8fwpD2V46XZOjxLrQ0yl4mjy9k5hc1EyON1tbUeTprPhS6hYguqMC+XhKRgydG/uhaOA==" saltValue="/6qq0K5K7EI/5lKmYicx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mhrVfwB7NEH28uvBfOnYUBiwY0vyIiNnH2vVNJL+HM6lU4YK/Vx8WlV3oNkghHhf8I5PX+G/E9eJuKLcXWM6Uw==" saltValue="x4xIm7hdcvpNGLtsr0lj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B/dnV3aN6eTWweFtjwxms4eY+4hx9JbmUn3t1Ed4WEcffoOeWG+ySYNPU8ln11hpckd8zFm+X4idkPHBMdgAQ==" saltValue="E6S7JJ/fu+7LRuVn5ZVx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TARRAGONA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0.22700285860881039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0.16051526067102087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OjGBsikCaQ/UVnHpymb4zh7t4g9R7r0OSgseHTuVPOVuHrD0Y5b1ZBPynq+0Bdq9j9PgVaIEjFyTNYl8YNXdg==" saltValue="rUqw4brqF3TnqcL0xUWu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h6gRO4VbuowhxSXJWKGCL2d0vi/CtBynVKBJoc4PJA4kaspYugjqYJZmIiIH1FC94ViM+S/2vXkhgvl/8ntHQ==" saltValue="nH0uAcn4z6GiZuSl0Wdh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TARRAGONA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8825</v>
      </c>
      <c r="D9" s="407">
        <f>IF(ISNUMBER(C9/Datos!BH9),C9/Datos!BH9," - ")</f>
        <v>1260.7142857142858</v>
      </c>
      <c r="E9" s="406">
        <f>IF(ISNUMBER(IF(J_V="SI",Datos!J9,Datos!J9+Datos!Z9)),IF(J_V="SI",Datos!J9,Datos!J9+Datos!Z9)," - ")</f>
        <v>12926</v>
      </c>
      <c r="F9" s="407">
        <f>IF(ISNUMBER(E9/B9),E9/B9," - ")</f>
        <v>1846.5714285714287</v>
      </c>
      <c r="G9" s="406">
        <f>IF(ISNUMBER(IF(J_V="SI",Datos!K9,Datos!K9+Datos!AA9)),IF(J_V="SI",Datos!K9,Datos!K9+Datos!AA9)," - ")</f>
        <v>12300</v>
      </c>
      <c r="H9" s="407">
        <f>IF(ISNUMBER(G9/B9),G9/B9," - ")</f>
        <v>1757.1428571428571</v>
      </c>
      <c r="I9" s="406">
        <f>IF(ISNUMBER(IF(J_V="SI",Datos!L9,Datos!L9+Datos!AB9)),IF(J_V="SI",Datos!L9,Datos!L9+Datos!AB9)," - ")</f>
        <v>9377</v>
      </c>
      <c r="J9" s="407">
        <f>IF(ISNUMBER(I9/B9),I9/B9," - ")</f>
        <v>1339.5714285714287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120</v>
      </c>
      <c r="D10" s="407">
        <f>IF(ISNUMBER(C10/Datos!BH10),C10/Datos!BH10," - ")</f>
        <v>60</v>
      </c>
      <c r="E10" s="406">
        <f>IF(ISNUMBER(Datos!J10),Datos!J10," - ")</f>
        <v>104</v>
      </c>
      <c r="F10" s="407">
        <f>IF(ISNUMBER(E10/B10),E10/B10," - ")</f>
        <v>52</v>
      </c>
      <c r="G10" s="406">
        <f>IF(ISNUMBER(Datos!K10),Datos!K10," - ")</f>
        <v>112</v>
      </c>
      <c r="H10" s="407">
        <f>IF(ISNUMBER(G10/B10),G10/B10," - ")</f>
        <v>56</v>
      </c>
      <c r="I10" s="406">
        <f>IF(ISNUMBER(Datos!L10),Datos!L10," - ")</f>
        <v>112</v>
      </c>
      <c r="J10" s="407">
        <f>IF(ISNUMBER(I10/B10),I10/B10," - ")</f>
        <v>56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650</v>
      </c>
      <c r="D11" s="407">
        <f>IF(ISNUMBER(C11/Datos!BH11),C11/Datos!BH11," - ")</f>
        <v>650</v>
      </c>
      <c r="E11" s="406">
        <f>IF(ISNUMBER(IF(J_V="SI",Datos!J11,Datos!J11+Datos!Z11)),IF(J_V="SI",Datos!J11,Datos!J11+Datos!Z11)," - ")</f>
        <v>1290</v>
      </c>
      <c r="F11" s="407">
        <f>IF(ISNUMBER(E11/B11),E11/B11," - ")</f>
        <v>1290</v>
      </c>
      <c r="G11" s="406">
        <f>IF(ISNUMBER(IF(J_V="SI",Datos!K11,Datos!K11+Datos!AA11)),IF(J_V="SI",Datos!K11,Datos!K11+Datos!AA11)," - ")</f>
        <v>1231</v>
      </c>
      <c r="H11" s="407">
        <f>IF(ISNUMBER(G11/B11),G11/B11," - ")</f>
        <v>1231</v>
      </c>
      <c r="I11" s="406">
        <f>IF(ISNUMBER(IF(J_V="SI",Datos!L11,Datos!L11+Datos!AB11)),IF(J_V="SI",Datos!L11,Datos!L11+Datos!AB11)," - ")</f>
        <v>709</v>
      </c>
      <c r="J11" s="407">
        <f>IF(ISNUMBER(I11/B11),I11/B11," - ")</f>
        <v>709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9595</v>
      </c>
      <c r="D13" s="853" t="str">
        <f>IF(ISNUMBER(C13/Datos!BI13),C13/Datos!BI13," - ")</f>
        <v xml:space="preserve"> - </v>
      </c>
      <c r="E13" s="852">
        <f>SUBTOTAL(9,E8:E12)</f>
        <v>14320</v>
      </c>
      <c r="F13" s="853">
        <f>IF(ISNUMBER(E13/B13),E13/B13," - ")</f>
        <v>1591.1111111111111</v>
      </c>
      <c r="G13" s="852">
        <f>SUBTOTAL(9,G8:G12)</f>
        <v>13643</v>
      </c>
      <c r="H13" s="853">
        <f>IF(ISNUMBER(G13/B13),G13/B13," - ")</f>
        <v>1515.8888888888889</v>
      </c>
      <c r="I13" s="852">
        <f>SUBTOTAL(9,I8:I12)</f>
        <v>10198</v>
      </c>
      <c r="J13" s="853">
        <f>IF(ISNUMBER(I13/B13),I13/B13," - ")</f>
        <v>1133.1111111111111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2946</v>
      </c>
      <c r="D15" s="407">
        <f>IF(ISNUMBER(C15/Datos!BH15),C15/Datos!BH15," - ")</f>
        <v>491</v>
      </c>
      <c r="E15" s="406">
        <f>IF(ISNUMBER(IF(D_I="SI",Datos!J15,Datos!J15+Datos!AD15)),IF(D_I="SI",Datos!J15,Datos!J15+Datos!AD15)," - ")</f>
        <v>24844</v>
      </c>
      <c r="F15" s="407">
        <f>IF(ISNUMBER(E15/B15),E15/B15," - ")</f>
        <v>4140.666666666667</v>
      </c>
      <c r="G15" s="406">
        <f>IF(ISNUMBER(IF(D_I="SI",Datos!K15,Datos!K15+Datos!AE15)),IF(D_I="SI",Datos!K15,Datos!K15+Datos!AE15)," - ")</f>
        <v>24938</v>
      </c>
      <c r="H15" s="407">
        <f>IF(ISNUMBER(G15/B15),G15/B15," - ")</f>
        <v>4156.333333333333</v>
      </c>
      <c r="I15" s="406">
        <f>IF(ISNUMBER(IF(D_I="SI",Datos!L15,Datos!L15+Datos!AF15)),IF(D_I="SI",Datos!L15,Datos!L15+Datos!AF15)," - ")</f>
        <v>3344</v>
      </c>
      <c r="J15" s="407">
        <f>IF(ISNUMBER(I15/B15),I15/B15," - ")</f>
        <v>557.33333333333337</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192</v>
      </c>
      <c r="D17" s="407">
        <f>IF(ISNUMBER(C17/Datos!BH17),C17/Datos!BH17," - ")</f>
        <v>96</v>
      </c>
      <c r="E17" s="406">
        <f>IF(ISNUMBER(IF(D_I="SI",Datos!J17,Datos!J17+Datos!AD17)),IF(D_I="SI",Datos!J17,Datos!J17+Datos!AD17)," - ")</f>
        <v>1194</v>
      </c>
      <c r="F17" s="407">
        <f>IF(ISNUMBER(E17/B17),E17/B17," - ")</f>
        <v>597</v>
      </c>
      <c r="G17" s="406">
        <f>IF(ISNUMBER(IF(D_I="SI",Datos!K17,Datos!K17+Datos!AE17)),IF(D_I="SI",Datos!K17,Datos!K17+Datos!AE17)," - ")</f>
        <v>1150</v>
      </c>
      <c r="H17" s="407">
        <f>IF(ISNUMBER(G17/B17),G17/B17," - ")</f>
        <v>575</v>
      </c>
      <c r="I17" s="406">
        <f>IF(ISNUMBER(IF(D_I="SI",Datos!L17,Datos!L17+Datos!AF17)),IF(D_I="SI",Datos!L17,Datos!L17+Datos!AF17)," - ")</f>
        <v>236</v>
      </c>
      <c r="J17" s="407">
        <f>IF(ISNUMBER(I17/B17),I17/B17," - ")</f>
        <v>118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3138</v>
      </c>
      <c r="D18" s="853" t="str">
        <f>IF(ISNUMBER(C18/Datos!BI18),C18/Datos!BI18," - ")</f>
        <v xml:space="preserve"> - </v>
      </c>
      <c r="E18" s="852">
        <f>SUBTOTAL(9,E14:E17)</f>
        <v>26038</v>
      </c>
      <c r="F18" s="853">
        <f>IF(ISNUMBER(E18/B18),E18/B18," - ")</f>
        <v>3719.7142857142858</v>
      </c>
      <c r="G18" s="852">
        <f>SUBTOTAL(9,G14:G17)</f>
        <v>26088</v>
      </c>
      <c r="H18" s="853">
        <f>IF(ISNUMBER(G18/B18),G18/B18," - ")</f>
        <v>3726.8571428571427</v>
      </c>
      <c r="I18" s="852">
        <f>SUBTOTAL(9,I14:I17)</f>
        <v>3580</v>
      </c>
      <c r="J18" s="853">
        <f>IF(ISNUMBER(I18/B18),I18/B18," - ")</f>
        <v>511.42857142857144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15</v>
      </c>
      <c r="C19" s="797">
        <f>SUBTOTAL(9,C9:C18)</f>
        <v>12733</v>
      </c>
      <c r="D19" s="798" t="str">
        <f>IF(ISNUMBER(C19/Datos!BI19),C19/Datos!BI19," - ")</f>
        <v xml:space="preserve"> - </v>
      </c>
      <c r="E19" s="797">
        <f>SUBTOTAL(9,E9:E18)</f>
        <v>40358</v>
      </c>
      <c r="F19" s="798">
        <f>IF(ISNUMBER(E19/B19),E19/B19," - ")</f>
        <v>2690.5333333333333</v>
      </c>
      <c r="G19" s="797">
        <f>SUBTOTAL(9,G9:G18)</f>
        <v>39731</v>
      </c>
      <c r="H19" s="798">
        <f>IF(ISNUMBER(G19/B19),G19/B19," - ")</f>
        <v>2648.7333333333331</v>
      </c>
      <c r="I19" s="797">
        <f>SUBTOTAL(9,I9:I18)</f>
        <v>13778</v>
      </c>
      <c r="J19" s="798">
        <f>IF(ISNUMBER(I19/B19),I19/B19," - ")</f>
        <v>918.5333333333333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r5iDbw/yz/etSac7wFvXyk5h1mZtgtFKkgw11CM6zUzJfrgejyC6SkAA6GRUfpz5wpjgjPkqrzBNh2GaqYrQ==" saltValue="AXGdDiJQXD9QKrRrPvwp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TARRAGONA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246</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1</v>
      </c>
      <c r="F10" s="686">
        <f>IF(ISNUMBER(Datos!L10+Datos!K10-Datos!J10),Datos!L10+Datos!K10-Datos!J10," - ")</f>
        <v>120</v>
      </c>
      <c r="G10" s="687">
        <f>IF(ISNUMBER(Datos!I10),Datos!I10," - ")</f>
        <v>120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112</v>
      </c>
      <c r="AC10" s="686" t="str">
        <f>IF(ISNUMBER(IF(D_I="SI",DatosP!K17,DatosP!K17+DatosP!AE17)),IF(D_I="SI",DatosP!K17,DatosP!K17+DatosP!AE17)," - ")</f>
        <v xml:space="preserve"> - </v>
      </c>
      <c r="AD10" s="688"/>
      <c r="AE10" s="688"/>
      <c r="AF10" s="691">
        <f>IF(ISNUMBER(Datos!L10),Datos!L10,"-")</f>
        <v>112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63</v>
      </c>
      <c r="AM10" s="693">
        <f>IF(ISNUMBER(Datos!N10+DatosP!N17),Datos!N10+DatosP!N17," - ")</f>
        <v>35</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246</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120</v>
      </c>
      <c r="G13" s="941">
        <f t="shared" si="0"/>
        <v>120</v>
      </c>
      <c r="H13" s="941">
        <f t="shared" si="0"/>
        <v>0</v>
      </c>
      <c r="I13" s="943">
        <f t="shared" si="0"/>
        <v>0</v>
      </c>
      <c r="J13" s="942">
        <f t="shared" si="0"/>
        <v>0</v>
      </c>
      <c r="K13" s="942">
        <f t="shared" si="0"/>
        <v>0</v>
      </c>
      <c r="L13" s="944">
        <f t="shared" si="0"/>
        <v>0</v>
      </c>
      <c r="M13" s="944">
        <f t="shared" si="0"/>
        <v>0</v>
      </c>
      <c r="N13" s="942">
        <f t="shared" si="0"/>
        <v>40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112</v>
      </c>
      <c r="AC13" s="942">
        <f t="shared" si="1"/>
        <v>0</v>
      </c>
      <c r="AD13" s="942">
        <f t="shared" si="1"/>
        <v>0</v>
      </c>
      <c r="AE13" s="942">
        <f t="shared" si="1"/>
        <v>0</v>
      </c>
      <c r="AF13" s="942">
        <f t="shared" si="1"/>
        <v>112</v>
      </c>
      <c r="AG13" s="942">
        <f t="shared" si="1"/>
        <v>0</v>
      </c>
      <c r="AH13" s="942">
        <f t="shared" si="1"/>
        <v>0</v>
      </c>
      <c r="AI13" s="942">
        <f t="shared" si="1"/>
        <v>0</v>
      </c>
      <c r="AJ13" s="942">
        <f t="shared" si="1"/>
        <v>0</v>
      </c>
      <c r="AK13" s="942">
        <f t="shared" si="1"/>
        <v>0</v>
      </c>
      <c r="AL13" s="942">
        <f t="shared" si="1"/>
        <v>63</v>
      </c>
      <c r="AM13" s="942">
        <f t="shared" si="1"/>
        <v>35</v>
      </c>
      <c r="AN13" s="942">
        <f t="shared" si="1"/>
        <v>0</v>
      </c>
      <c r="AO13" s="942">
        <f t="shared" si="1"/>
        <v>0</v>
      </c>
      <c r="AP13" s="947">
        <f>IF(ISNUMBER(((Datos!L13/Datos!K13)*11)/factor_trimestre),((Datos!L13/Datos!K13)*11)/factor_trimestre," - ")</f>
        <v>8.4504435017354425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-0.93333333333333335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1.50950628641521</v>
      </c>
      <c r="AQ18" s="947">
        <f>IF(ISNUMBER(((Datos!M18/Datos!L18)*11)/factor_trimestre),((Datos!M18/Datos!L18)*11)/factor_trimestre," - ")</f>
        <v>6.4555865921787703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-0.16481774960380349</v>
      </c>
      <c r="AW18" s="949">
        <f>IF(ISNUMBER((Datos!Q18-Datos!R18)/(Datos!S18-Datos!Q18+Datos!R18)),(Datos!Q18-Datos!R18)/(Datos!S18-Datos!Q18+Datos!R18)," - ")</f>
        <v>5.3495241220872992E-2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120</v>
      </c>
      <c r="G19" s="954">
        <f t="shared" si="4"/>
        <v>120</v>
      </c>
      <c r="H19" s="954">
        <f t="shared" si="4"/>
        <v>0</v>
      </c>
      <c r="I19" s="955">
        <f t="shared" si="4"/>
        <v>0</v>
      </c>
      <c r="J19" s="956">
        <f t="shared" si="4"/>
        <v>0</v>
      </c>
      <c r="K19" s="956">
        <f t="shared" si="4"/>
        <v>0</v>
      </c>
      <c r="L19" s="956">
        <f t="shared" si="4"/>
        <v>0</v>
      </c>
      <c r="M19" s="956">
        <f t="shared" si="4"/>
        <v>0</v>
      </c>
      <c r="N19" s="955">
        <f t="shared" si="4"/>
        <v>40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112</v>
      </c>
      <c r="AC19" s="960">
        <f t="shared" si="5"/>
        <v>0</v>
      </c>
      <c r="AD19" s="960">
        <f t="shared" si="5"/>
        <v>0</v>
      </c>
      <c r="AE19" s="960">
        <f t="shared" si="5"/>
        <v>0</v>
      </c>
      <c r="AF19" s="961">
        <f t="shared" si="5"/>
        <v>112</v>
      </c>
      <c r="AG19" s="961">
        <f t="shared" si="5"/>
        <v>0</v>
      </c>
      <c r="AH19" s="961">
        <f t="shared" si="5"/>
        <v>0</v>
      </c>
      <c r="AI19" s="961">
        <f t="shared" si="5"/>
        <v>0</v>
      </c>
      <c r="AJ19" s="962">
        <f t="shared" si="5"/>
        <v>0</v>
      </c>
      <c r="AK19" s="962">
        <f t="shared" si="5"/>
        <v>0</v>
      </c>
      <c r="AL19" s="954">
        <f t="shared" si="5"/>
        <v>63</v>
      </c>
      <c r="AM19" s="954">
        <f t="shared" si="5"/>
        <v>35</v>
      </c>
      <c r="AN19" s="954">
        <f t="shared" si="5"/>
        <v>0</v>
      </c>
      <c r="AO19" s="954">
        <f t="shared" si="5"/>
        <v>0</v>
      </c>
      <c r="AP19" s="954">
        <f>IF(ISNUMBER(((Datos!L19/Datos!K19)*11)/factor_trimestre),((Datos!L19/Datos!K19)*11)/factor_trimestre," - ")</f>
        <v>3.813791514096228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-0.93333333333333335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5.8532192705988296E-3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3.9496835316262997</v>
      </c>
      <c r="F21" s="739">
        <f>IF(ISNUMBER(STDEV(F8:F18)),STDEV(F8:F18),"-")</f>
        <v>69.282032302755098</v>
      </c>
      <c r="G21" s="740">
        <f>IF(ISNUMBER(STDEV(G8:G18)),STDEV(G8:G18),"-")</f>
        <v>69.282032302755098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64.663230149238089</v>
      </c>
      <c r="AC21" s="741">
        <f>IF(ISNUMBER(STDEV(AC8:AC18)),STDEV(AC8:AC18),"-")</f>
        <v>0</v>
      </c>
      <c r="AD21" s="744"/>
      <c r="AE21" s="744"/>
      <c r="AF21" s="744"/>
      <c r="AG21" s="744"/>
      <c r="AH21" s="744"/>
      <c r="AI21" s="744"/>
      <c r="AJ21" s="745">
        <f>IF(ISNUMBER(STDEV(AJ8:AJ18)),STDEV(AJ8:AJ18),"-")</f>
        <v>0</v>
      </c>
      <c r="AK21" s="747"/>
      <c r="AL21" s="739">
        <f>IF(ISNUMBER(STDEV(AL8:AL18)),STDEV(AL8:AL18),"-")</f>
        <v>36.373066958946424</v>
      </c>
      <c r="AM21" s="739"/>
      <c r="AN21" s="739">
        <f>IF(ISNUMBER(STDEV(AN8:AN18)),STDEV(AN8:AN18),"-")</f>
        <v>0</v>
      </c>
      <c r="AO21" s="745">
        <f>IF(ISNUMBER(STDEV(AO8:AO18)),STDEV(AO8:AO18),"-")</f>
        <v>0</v>
      </c>
      <c r="AP21" s="782">
        <f>IF(ISNUMBER(STDEV(AP8:AP18)),STDEV(AP8:AP18),"-")</f>
        <v>4.9116582178264547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rWcvhZ5lslaXUhQ7I6ntNxQORDZuDJD1LSmyphKDPpdDu/2h1rZ3+zwgNFPw2X97SXMGgWWYc+C+KwRV1Ixtw==" saltValue="4gX52E+6LjdOF4HfkmTB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TARRAGONA</v>
      </c>
      <c r="C3" s="418"/>
      <c r="F3" s="378"/>
      <c r="G3" s="378"/>
      <c r="H3" s="378"/>
    </row>
    <row r="4" spans="1:15" ht="13.5" thickBot="1">
      <c r="A4" s="378"/>
      <c r="B4" s="394" t="str">
        <f>Criterios!A11 &amp;"  "&amp;Criterios!B11</f>
        <v>Resumenes por Partidos Judiciales  TARRAGONA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mgUGr/Tr0liMIS7fx5UhMkXjNF8quwnlF2gDEouEAI2fVT059oR0X7c3MHZTYPiiANb5lY5LdlAMpn7VeHES+A==" saltValue="seRM4PN75wrS+c/xbFEJ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TARRAGONA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2452</v>
      </c>
      <c r="E9" s="407">
        <f t="shared" ref="E9:E13" si="0">IF(ISNUMBER(D9/B9),D9/B9," - ")</f>
        <v>350.28571428571428</v>
      </c>
      <c r="F9" s="406">
        <f>IF(ISNUMBER(Datos!N9),Datos!N9," - ")</f>
        <v>4865</v>
      </c>
      <c r="G9" s="407">
        <f t="shared" ref="G9:G13" si="1">IF(ISNUMBER(F9/B9),F9/B9," - ")</f>
        <v>695</v>
      </c>
      <c r="H9" s="406">
        <f>IF(ISNUMBER(Datos!O9),Datos!O9," - ")</f>
        <v>6928</v>
      </c>
      <c r="I9" s="407">
        <f>IF(ISNUMBER(H9/B9),H9/B9," - ")</f>
        <v>989.71428571428567</v>
      </c>
    </row>
    <row r="10" spans="1:9">
      <c r="A10" s="405" t="str">
        <f>Datos!A10</f>
        <v>Jdos. Violencia contra la mujer</v>
      </c>
      <c r="B10" s="430">
        <f>Datos!AO10</f>
        <v>2</v>
      </c>
      <c r="C10" s="413">
        <f>Datos!AQ10</f>
        <v>1</v>
      </c>
      <c r="D10" s="406">
        <f>IF(ISNUMBER(Datos!M10),Datos!M10," - ")</f>
        <v>63</v>
      </c>
      <c r="E10" s="407">
        <f>IF(ISNUMBER(D10/B10),D10/B10," - ")</f>
        <v>31.5</v>
      </c>
      <c r="F10" s="406">
        <f>IF(ISNUMBER(Datos!N10),Datos!N10," - ")</f>
        <v>35</v>
      </c>
      <c r="G10" s="407">
        <f>IF(ISNUMBER(F10/B10),F10/B10," - ")</f>
        <v>17.5</v>
      </c>
      <c r="H10" s="406">
        <f>IF(ISNUMBER(Datos!O10),Datos!O10," - ")</f>
        <v>23</v>
      </c>
      <c r="I10" s="407">
        <f t="shared" ref="I10:I12" si="2">IF(ISNUMBER(H10/B10),H10/B10," - ")</f>
        <v>11.5</v>
      </c>
    </row>
    <row r="11" spans="1:9">
      <c r="A11" s="405" t="str">
        <f>Datos!A11</f>
        <v xml:space="preserve">Jdos. Familia                                   </v>
      </c>
      <c r="B11" s="430">
        <f>Datos!AO11</f>
        <v>1</v>
      </c>
      <c r="C11" s="413">
        <f>Datos!AQ11</f>
        <v>1</v>
      </c>
      <c r="D11" s="406">
        <f>IF(ISNUMBER(Datos!M11),Datos!M11," - ")</f>
        <v>582</v>
      </c>
      <c r="E11" s="407">
        <f t="shared" si="0"/>
        <v>582</v>
      </c>
      <c r="F11" s="406">
        <f>IF(ISNUMBER(Datos!N11),Datos!N11," - ")</f>
        <v>338</v>
      </c>
      <c r="G11" s="407">
        <f t="shared" si="1"/>
        <v>338</v>
      </c>
      <c r="H11" s="406">
        <f>IF(ISNUMBER(Datos!O11),Datos!O11," - ")</f>
        <v>392</v>
      </c>
      <c r="I11" s="407">
        <f t="shared" si="2"/>
        <v>392</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9</v>
      </c>
      <c r="D13" s="852">
        <f>SUBTOTAL(9,D9:D12)</f>
        <v>3097</v>
      </c>
      <c r="E13" s="853">
        <f t="shared" si="0"/>
        <v>309.7</v>
      </c>
      <c r="F13" s="852">
        <f>SUBTOTAL(9,F9:F12)</f>
        <v>5238</v>
      </c>
      <c r="G13" s="853">
        <f t="shared" si="1"/>
        <v>523.79999999999995</v>
      </c>
      <c r="H13" s="852">
        <f>SUBTOTAL(9,H9:H12)</f>
        <v>7343</v>
      </c>
      <c r="I13" s="853">
        <f>IF(ISNUMBER(H13/B13),H13/B13," - ")</f>
        <v>734.3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1980</v>
      </c>
      <c r="E15" s="407">
        <f t="shared" ref="E15:E18" si="3">IF(ISNUMBER(D15/B15),D15/B15," - ")</f>
        <v>330</v>
      </c>
      <c r="F15" s="406">
        <f>IF(ISNUMBER(Datos!N15),Datos!N15," - ")</f>
        <v>17289</v>
      </c>
      <c r="G15" s="407">
        <f t="shared" ref="G15:G18" si="4">IF(ISNUMBER(F15/B15),F15/B15," - ")</f>
        <v>2881.5</v>
      </c>
      <c r="H15" s="406">
        <f>IF(ISNUMBER(Datos!O15),Datos!O15," - ")</f>
        <v>349</v>
      </c>
      <c r="I15" s="407">
        <f t="shared" ref="I15:I17" si="5">IF(ISNUMBER(H15/B15),H15/B15," - ")</f>
        <v>58.166666666666664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121</v>
      </c>
      <c r="E17" s="407">
        <f>IF(ISNUMBER(D17/B17),D17/B17," - ")</f>
        <v>60.5</v>
      </c>
      <c r="F17" s="406">
        <f>IF(ISNUMBER(Datos!N17),Datos!N17," - ")</f>
        <v>500</v>
      </c>
      <c r="G17" s="407">
        <f>IF(ISNUMBER(F17/B17),F17/B17," - ")</f>
        <v>250</v>
      </c>
      <c r="H17" s="406">
        <f>IF(ISNUMBER(Datos!O17),Datos!O17," - ")</f>
        <v>0</v>
      </c>
      <c r="I17" s="407">
        <f t="shared" si="5"/>
        <v>0</v>
      </c>
    </row>
    <row r="18" spans="1:9" ht="14.25" thickTop="1" thickBot="1">
      <c r="A18" s="851" t="str">
        <f>Datos!A18</f>
        <v>TOTAL</v>
      </c>
      <c r="B18" s="852">
        <f>Datos!AO18</f>
        <v>8</v>
      </c>
      <c r="C18" s="854">
        <f>Datos!AR18</f>
        <v>7</v>
      </c>
      <c r="D18" s="852">
        <f>SUBTOTAL(9,D15:D17)</f>
        <v>2101</v>
      </c>
      <c r="E18" s="853">
        <f t="shared" si="3"/>
        <v>262.625</v>
      </c>
      <c r="F18" s="852">
        <f>SUBTOTAL(9,F15:F17)</f>
        <v>17789</v>
      </c>
      <c r="G18" s="853">
        <f t="shared" si="4"/>
        <v>2223.625</v>
      </c>
      <c r="H18" s="852">
        <f>SUBTOTAL(9,H15:H17)</f>
        <v>349</v>
      </c>
      <c r="I18" s="853">
        <f>IF(ISNUMBER(H18/B18),H18/B18," - ")</f>
        <v>43.625</v>
      </c>
    </row>
    <row r="19" spans="1:9" ht="14.25" thickTop="1" thickBot="1">
      <c r="A19" s="796" t="str">
        <f>Datos!A19</f>
        <v>TOTAL JURISDICCIONES</v>
      </c>
      <c r="B19" s="797">
        <f>Datos!AP19</f>
        <v>15</v>
      </c>
      <c r="C19" s="797">
        <f>Datos!AR19</f>
        <v>15</v>
      </c>
      <c r="D19" s="797">
        <f>SUBTOTAL(9,D8:D18)</f>
        <v>5198</v>
      </c>
      <c r="E19" s="798">
        <f>IF(ISNUMBER(D19/B19),D19/B19," - ")</f>
        <v>346.53333333333336</v>
      </c>
      <c r="F19" s="797">
        <f>SUBTOTAL(9,F8:F18)</f>
        <v>23027</v>
      </c>
      <c r="G19" s="798">
        <f>IF(ISNUMBER(F19/B19),F19/B19," - ")</f>
        <v>1535.1333333333334</v>
      </c>
      <c r="H19" s="797">
        <f>SUBTOTAL(9,H8:H18)</f>
        <v>7692</v>
      </c>
      <c r="I19" s="798">
        <f>IF(ISNUMBER(H19/B19),H19/B19," - ")</f>
        <v>512.79999999999995</v>
      </c>
    </row>
    <row r="22" spans="1:9">
      <c r="A22" s="394" t="str">
        <f>Criterios!A4</f>
        <v>Fecha Informe: 03 may. 2024</v>
      </c>
    </row>
    <row r="27" spans="1:9">
      <c r="A27" s="417"/>
    </row>
  </sheetData>
  <sheetProtection algorithmName="SHA-512" hashValue="jo11oSAFnyEhCI+Q5LgmmMNOmPf0qH1ZmBlXwAO70R6tUFZ5VJ94DCAAbVCq0fkgQeI/7E3CrU6FZ9RopAiDbg==" saltValue="1OQY5HI/T2KFkokvMxir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TARRAGONA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4038</v>
      </c>
      <c r="C9" s="437">
        <f>IF(ISNUMBER(Datos!Q9),Datos!Q9," - ")</f>
        <v>3836</v>
      </c>
      <c r="D9" s="411">
        <f>IF(ISNUMBER(Datos!R9),Datos!R9," - ")</f>
        <v>11945</v>
      </c>
    </row>
    <row r="10" spans="1:4">
      <c r="A10" s="405" t="str">
        <f>Datos!A10</f>
        <v>Jdos. Violencia contra la mujer</v>
      </c>
      <c r="B10" s="436">
        <f>IF(ISNUMBER(Datos!P10),Datos!P10," - ")</f>
        <v>40</v>
      </c>
      <c r="C10" s="437">
        <f>IF(ISNUMBER(Datos!Q10),Datos!Q10," - ")</f>
        <v>37</v>
      </c>
      <c r="D10" s="411">
        <f>IF(ISNUMBER(Datos!R10),Datos!R10," - ")</f>
        <v>179</v>
      </c>
    </row>
    <row r="11" spans="1:4">
      <c r="A11" s="405" t="str">
        <f>Datos!A11</f>
        <v xml:space="preserve">Jdos. Familia                                   </v>
      </c>
      <c r="B11" s="436">
        <f>IF(ISNUMBER(Datos!P11),Datos!P11," - ")</f>
        <v>238</v>
      </c>
      <c r="C11" s="437">
        <f>IF(ISNUMBER(Datos!Q11),Datos!Q11," - ")</f>
        <v>261</v>
      </c>
      <c r="D11" s="411">
        <f>IF(ISNUMBER(Datos!R11),Datos!R11," - ")</f>
        <v>753</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4316</v>
      </c>
      <c r="C13" s="856">
        <f>SUBTOTAL(9,C9:C12)</f>
        <v>4134</v>
      </c>
      <c r="D13" s="854">
        <f>SUBTOTAL(9,D9:D12)</f>
        <v>12877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581</v>
      </c>
      <c r="C15" s="437">
        <f>IF(ISNUMBER(Datos!Q15),Datos!Q15," - ")</f>
        <v>688</v>
      </c>
      <c r="D15" s="411">
        <f>IF(ISNUMBER(Datos!R15),Datos!R15," - ")</f>
        <v>523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5</v>
      </c>
      <c r="C17" s="437">
        <f>IF(ISNUMBER(Datos!Q17),Datos!Q17," - ")</f>
        <v>2</v>
      </c>
      <c r="D17" s="411">
        <f>IF(ISNUMBER(Datos!R17),Datos!R17," - ")</f>
        <v>4</v>
      </c>
    </row>
    <row r="18" spans="1:4" ht="14.25" thickTop="1" thickBot="1">
      <c r="A18" s="851" t="str">
        <f>Datos!A18</f>
        <v>TOTAL</v>
      </c>
      <c r="B18" s="852">
        <f>SUBTOTAL(9,B15:B17)</f>
        <v>586</v>
      </c>
      <c r="C18" s="856">
        <f>SUBTOTAL(9,C15:C17)</f>
        <v>690</v>
      </c>
      <c r="D18" s="854">
        <f>SUBTOTAL(9,D15:D17)</f>
        <v>527</v>
      </c>
    </row>
    <row r="19" spans="1:4" ht="16.5" customHeight="1" thickTop="1" thickBot="1">
      <c r="A19" s="796" t="str">
        <f>Datos!A19</f>
        <v>TOTAL JURISDICCIONES</v>
      </c>
      <c r="B19" s="801">
        <f>SUBTOTAL(9,B8:B18)</f>
        <v>4902</v>
      </c>
      <c r="C19" s="802">
        <f>SUBTOTAL(9,C8:C18)</f>
        <v>4824</v>
      </c>
      <c r="D19" s="803">
        <f>SUBTOTAL(9,D8:D18)</f>
        <v>13404</v>
      </c>
    </row>
    <row r="20" spans="1:4" ht="7.5" customHeight="1"/>
    <row r="21" spans="1:4" ht="6" customHeight="1"/>
    <row r="22" spans="1:4">
      <c r="A22" s="394" t="str">
        <f>Criterios!A4</f>
        <v>Fecha Informe: 03 may. 2024</v>
      </c>
    </row>
    <row r="27" spans="1:4">
      <c r="A27" s="417"/>
    </row>
  </sheetData>
  <sheetProtection algorithmName="SHA-512" hashValue="js+jxcnm424gJdHqZPBwBCHV2p6VKEfbUOvxdB3CsC2v+IF1OS/u25sox4kEv+QUUVU377WxiFf6B9Mz+tcr8A==" saltValue="qQ+9vWaFDNUKj/BvefM/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TARRAGONA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6.2740847784200388E-2</v>
      </c>
      <c r="C9" s="459">
        <f>IF(ISNUMBER(
   IF(J_V="SI",(Datos!J9-Datos!T9)/Datos!T9,(Datos!J9+Datos!Z9-(Datos!T9+Datos!AH9))/(Datos!T9+Datos!AH9))
     ),IF(J_V="SI",(Datos!J9-Datos!T9)/Datos!T9,(Datos!J9+Datos!Z9-(Datos!T9+Datos!AH9))/(Datos!T9+Datos!AH9))," - ")</f>
        <v>1.3247628752841576E-2</v>
      </c>
      <c r="D9" s="459">
        <f>IF(ISNUMBER(
   IF(J_V="SI",(Datos!K9-Datos!U9)/Datos!U9,(Datos!K9+Datos!AA9-(Datos!U9+Datos!AI9))/(Datos!U9+Datos!AI9))
     ),IF(J_V="SI",(Datos!K9-Datos!U9)/Datos!U9,(Datos!K9+Datos!AA9-(Datos!U9+Datos!AI9))/(Datos!U9+Datos!AI9))," - ")</f>
        <v>-2.4970273483947682E-2</v>
      </c>
      <c r="E9" s="459">
        <f>IF(ISNUMBER(
   IF(J_V="SI",(Datos!L9-Datos!V9)/Datos!V9,(Datos!L9+Datos!AB9-(Datos!V9+Datos!AJ9))/(Datos!V9+Datos!AJ9))
     ),IF(J_V="SI",(Datos!L9-Datos!V9)/Datos!V9,(Datos!L9+Datos!AB9-(Datos!V9+Datos!AJ9))/(Datos!V9+Datos!AJ9))," - ")</f>
        <v>6.2549575070821525E-2</v>
      </c>
      <c r="F9" s="459">
        <f>IF(ISNUMBER((Datos!M9-Datos!W9)/Datos!W9),(Datos!M9-Datos!W9)/Datos!W9," - ")</f>
        <v>-0.26498800959232616</v>
      </c>
      <c r="G9" s="460">
        <f>IF(ISNUMBER((Datos!N9-Datos!X9)/Datos!X9),(Datos!N9-Datos!X9)/Datos!X9," - ")</f>
        <v>7.1585903083700442E-2</v>
      </c>
      <c r="H9" s="458">
        <f>IF(ISNUMBER(((NºAsuntos!G9/NºAsuntos!E9)-Datos!BD9)/Datos!BD9),((NºAsuntos!G9/NºAsuntos!E9)-Datos!BD9)/Datos!BD9," - ")</f>
        <v>-3.7718225192226493E-2</v>
      </c>
      <c r="I9" s="459">
        <f>IF(ISNUMBER(((NºAsuntos!I9/NºAsuntos!G9)-Datos!BE9)/Datos!BE9),((NºAsuntos!I9/NºAsuntos!G9)-Datos!BE9)/Datos!BE9," - ")</f>
        <v>8.9761210529952271E-2</v>
      </c>
      <c r="J9" s="464">
        <f>IF(ISNUMBER((('Resol  Asuntos'!D9/NºAsuntos!G9)-Datos!BF9)/Datos!BF9),(('Resol  Asuntos'!D9/NºAsuntos!G9)-Datos!BF9)/Datos!BF9," - ")</f>
        <v>-0.44608036961426889</v>
      </c>
      <c r="K9" s="465">
        <f>IF(ISNUMBER((((NºAsuntos!C9+NºAsuntos!E9)/NºAsuntos!G9)-Datos!BG9)/Datos!BG9),(((NºAsuntos!C9+NºAsuntos!E9)/NºAsuntos!G9)-Datos!BG9)/Datos!BG9," - ")</f>
        <v>5.921075945482402E-2</v>
      </c>
    </row>
    <row r="10" spans="1:11">
      <c r="A10" s="405" t="str">
        <f>Datos!A10</f>
        <v>Jdos. Violencia contra la mujer</v>
      </c>
      <c r="B10" s="458">
        <f>IF(ISNUMBER((Datos!I10-Datos!S10)/Datos!S10),(Datos!I10-Datos!S10)/Datos!S10," - ")</f>
        <v>0.10091743119266056</v>
      </c>
      <c r="C10" s="459">
        <f>IF(ISNUMBER((Datos!J10-Datos!T10)/Datos!T10),(Datos!J10-Datos!T10)/Datos!T10," - ")</f>
        <v>-0.1875</v>
      </c>
      <c r="D10" s="459">
        <f>IF(ISNUMBER((Datos!K10-Datos!U10)/Datos!U10),(Datos!K10-Datos!U10)/Datos!U10," - ")</f>
        <v>-4.2735042735042736E-2</v>
      </c>
      <c r="E10" s="459">
        <f>IF(ISNUMBER((Datos!L10-Datos!V10)/Datos!V10),(Datos!L10-Datos!V10)/Datos!V10," - ")</f>
        <v>-6.6666666666666666E-2</v>
      </c>
      <c r="F10" s="459">
        <f>IF(ISNUMBER((Datos!M10-Datos!W10)/Datos!W10),(Datos!M10-Datos!W10)/Datos!W10," - ")</f>
        <v>0.75</v>
      </c>
      <c r="G10" s="460">
        <f>IF(ISNUMBER((Datos!N10-Datos!X10)/Datos!X10),(Datos!N10-Datos!X10)/Datos!X10," - ")</f>
        <v>-0.25531914893617019</v>
      </c>
      <c r="H10" s="458">
        <f>IF(ISNUMBER(((NºAsuntos!G10/NºAsuntos!E10)-Datos!BD10)/Datos!BD10),((NºAsuntos!G10/NºAsuntos!E10)-Datos!BD10)/Datos!BD10," - ")</f>
        <v>0.17817225509533197</v>
      </c>
      <c r="I10" s="459">
        <f>IF(ISNUMBER(((NºAsuntos!I10/NºAsuntos!G10)-Datos!BE10)/Datos!BE10),((NºAsuntos!I10/NºAsuntos!G10)-Datos!BE10)/Datos!BE10," - ")</f>
        <v>-2.4999999999999915E-2</v>
      </c>
      <c r="J10" s="464">
        <f>IF(ISNUMBER((('Resol  Asuntos'!D10/NºAsuntos!G10)-Datos!BF10)/Datos!BF10),(('Resol  Asuntos'!D10/NºAsuntos!G10)-Datos!BF10)/Datos!BF10," - ")</f>
        <v>0.82812499999999989</v>
      </c>
      <c r="K10" s="465">
        <f>IF(ISNUMBER((((NºAsuntos!C10+NºAsuntos!E10)/NºAsuntos!G10)-Datos!BG10)/Datos!BG10),(((NºAsuntos!C10+NºAsuntos!E10)/NºAsuntos!G10)-Datos!BG10)/Datos!BG10," - ")</f>
        <v>-1.2658227848101222E-2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-9.1463414634146336E-3</v>
      </c>
      <c r="C11" s="459">
        <f>IF(ISNUMBER(
   IF(J_V="SI",(Datos!J11-Datos!T11)/Datos!T11,(Datos!J11+Datos!Z11-(Datos!T11+Datos!AH11))/(Datos!T11+Datos!AH11))
     ),IF(J_V="SI",(Datos!J11-Datos!T11)/Datos!T11,(Datos!J11+Datos!Z11-(Datos!T11+Datos!AH11))/(Datos!T11+Datos!AH11))," - ")</f>
        <v>1.2558869701726845E-2</v>
      </c>
      <c r="D11" s="459">
        <f>IF(ISNUMBER(
   IF(J_V="SI",(Datos!K11-Datos!U11)/Datos!U11,(Datos!K11+Datos!AA11-(Datos!U11+Datos!AI11))/(Datos!U11+Datos!AI11))
     ),IF(J_V="SI",(Datos!K11-Datos!U11)/Datos!U11,(Datos!K11+Datos!AA11-(Datos!U11+Datos!AI11))/(Datos!U11+Datos!AI11))," - ")</f>
        <v>-3.8281250000000003E-2</v>
      </c>
      <c r="E11" s="459">
        <f>IF(ISNUMBER(
   IF(J_V="SI",(Datos!L11-Datos!V11)/Datos!V11,(Datos!L11+Datos!AB11-(Datos!V11+Datos!AJ11))/(Datos!V11+Datos!AJ11))
     ),IF(J_V="SI",(Datos!L11-Datos!V11)/Datos!V11,(Datos!L11+Datos!AB11-(Datos!V11+Datos!AJ11))/(Datos!V11+Datos!AJ11))," - ")</f>
        <v>9.0769230769230769E-2</v>
      </c>
      <c r="F11" s="459">
        <f>IF(ISNUMBER((Datos!M11-Datos!W11)/Datos!W11),(Datos!M11-Datos!W11)/Datos!W11," - ")</f>
        <v>-4.9019607843137254E-2</v>
      </c>
      <c r="G11" s="460">
        <f>IF(ISNUMBER((Datos!N11-Datos!X11)/Datos!X11),(Datos!N11-Datos!X11)/Datos!X11," - ")</f>
        <v>-8.1521739130434784E-2</v>
      </c>
      <c r="H11" s="458">
        <f>IF(ISNUMBER(((NºAsuntos!G11/NºAsuntos!E11)-Datos!BD11)/Datos!BD11),((NºAsuntos!G11/NºAsuntos!E11)-Datos!BD11)/Datos!BD11," - ")</f>
        <v>-5.0209544573643329E-2</v>
      </c>
      <c r="I11" s="459">
        <f>IF(ISNUMBER(((NºAsuntos!I11/NºAsuntos!G11)-Datos!BE11)/Datos!BE11),((NºAsuntos!I11/NºAsuntos!G11)-Datos!BE11)/Datos!BE11," - ")</f>
        <v>0.13418733987377365</v>
      </c>
      <c r="J11" s="464">
        <f>IF(ISNUMBER((('Resol  Asuntos'!D11/NºAsuntos!G11)-Datos!BF11)/Datos!BF11),(('Resol  Asuntos'!D11/NºAsuntos!G11)-Datos!BF11)/Datos!BF11," - ")</f>
        <v>0.6444742697700705</v>
      </c>
      <c r="K11" s="465">
        <f>IF(ISNUMBER((((NºAsuntos!C11+NºAsuntos!E11)/NºAsuntos!G11)-Datos!BG11)/Datos!BG11),(((NºAsuntos!C11+NºAsuntos!E11)/NºAsuntos!G11)-Datos!BG11)/Datos!BG11," - ")</f>
        <v>4.5192627418628437E-2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5.7999779468519135E-2</v>
      </c>
      <c r="C13" s="858">
        <f>IF(ISNUMBER(
   IF(J_V="SI",(Datos!J13-Datos!T13)/Datos!T13,(Datos!J13+Datos!Z13-(Datos!T13+Datos!AH13))/(Datos!T13+Datos!AH13))
     ),IF(J_V="SI",(Datos!J13-Datos!T13)/Datos!T13,(Datos!J13+Datos!Z13-(Datos!T13+Datos!AH13))/(Datos!T13+Datos!AH13))," - ")</f>
        <v>1.1370859523977681E-2</v>
      </c>
      <c r="D13" s="858">
        <f>IF(ISNUMBER(
   IF(J_V="SI",(Datos!K13-Datos!U13)/Datos!U13,(Datos!K13+Datos!AA13-(Datos!U13+Datos!AI13))/(Datos!U13+Datos!AI13))
     ),IF(J_V="SI",(Datos!K13-Datos!U13)/Datos!U13,(Datos!K13+Datos!AA13-(Datos!U13+Datos!AI13))/(Datos!U13+Datos!AI13))," - ")</f>
        <v>-2.6334570368255782E-2</v>
      </c>
      <c r="E13" s="858">
        <f>IF(ISNUMBER(
   IF(J_V="SI",(Datos!L13-Datos!V13)/Datos!V13,(Datos!L13+Datos!AB13-(Datos!V13+Datos!AJ13))/(Datos!V13+Datos!AJ13))
     ),IF(J_V="SI",(Datos!L13-Datos!V13)/Datos!V13,(Datos!L13+Datos!AB13-(Datos!V13+Datos!AJ13))/(Datos!V13+Datos!AJ13))," - ")</f>
        <v>6.2845231891610218E-2</v>
      </c>
      <c r="F13" s="859">
        <f>IF(ISNUMBER((Datos!M13-Datos!W13)/Datos!W13),(Datos!M13-Datos!W13)/Datos!W13," - ")</f>
        <v>-0.22264056224899598</v>
      </c>
      <c r="G13" s="860">
        <f>IF(ISNUMBER((Datos!N13-Datos!X13)/Datos!X13),(Datos!N13-Datos!X13)/Datos!X13," - ")</f>
        <v>5.7114026236125125E-2</v>
      </c>
      <c r="H13" s="860">
        <f>IF(ISNUMBER(((NºAsuntos!G13/NºAsuntos!E13)-Datos!BD13)/Datos!BD13),((NºAsuntos!G13/NºAsuntos!E13)-Datos!BD13)/Datos!BD13," - ")</f>
        <v>-3.7281507112020419E-2</v>
      </c>
      <c r="I13" s="860">
        <f>IF(ISNUMBER(((NºAsuntos!I13/NºAsuntos!G13)-Datos!BE13)/Datos!BE13),((NºAsuntos!I13/NºAsuntos!G13)-Datos!BE13)/Datos!BE13," - ")</f>
        <v>9.1591833853642224E-2</v>
      </c>
      <c r="J13" s="860">
        <f>IF(ISNUMBER((('Resol  Asuntos'!D13/NºAsuntos!G13)-Datos!BF13)/Datos!BF13),(('Resol  Asuntos'!D13/NºAsuntos!G13)-Datos!BF13)/Datos!BF13," - ")</f>
        <v>-0.35664157467098484</v>
      </c>
      <c r="K13" s="860">
        <f>IF(ISNUMBER((((NºAsuntos!C13+NºAsuntos!E13)/NºAsuntos!G13)-Datos!BG13)/Datos!BG13),(((NºAsuntos!C13+NºAsuntos!E13)/NºAsuntos!G13)-Datos!BG13)/Datos!BG13," - ")</f>
        <v>5.7423157903346539E-2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-2.7722772277227723E-2</v>
      </c>
      <c r="C15" s="459">
        <f>IF(ISNUMBER(
   IF(D_I="SI",(Datos!J15-Datos!T15)/Datos!T15,(Datos!J15+Datos!AD15-(Datos!T15+Datos!AL15))/(Datos!T15+Datos!AL15))
     ),IF(D_I="SI",(Datos!J15-Datos!T15)/Datos!T15,(Datos!J15+Datos!AD15-(Datos!T15+Datos!AL15))/(Datos!T15+Datos!AL15))," - ")</f>
        <v>-3.5933255723709742E-2</v>
      </c>
      <c r="D15" s="459">
        <f>IF(ISNUMBER(
   IF(D_I="SI",(Datos!K15-Datos!U15)/Datos!U15,(Datos!K15+Datos!AE15-(Datos!U15+Datos!AM15))/(Datos!U15+Datos!AM15))
     ),IF(D_I="SI",(Datos!K15-Datos!U15)/Datos!U15,(Datos!K15+Datos!AE15-(Datos!U15+Datos!AM15))/(Datos!U15+Datos!AM15))," - ")</f>
        <v>-4.2870850124736133E-2</v>
      </c>
      <c r="E15" s="459">
        <f>IF(ISNUMBER(
   IF(D_I="SI",(Datos!L15-Datos!V15)/Datos!V15,(Datos!L15+Datos!AF15-(Datos!V15+Datos!AN15))/(Datos!V15+Datos!AN15))
     ),IF(D_I="SI",(Datos!L15-Datos!V15)/Datos!V15,(Datos!L15+Datos!AF15-(Datos!V15+Datos!AN15))/(Datos!V15+Datos!AN15))," - ")</f>
        <v>0.13509843856076034</v>
      </c>
      <c r="F15" s="459">
        <f>IF(ISNUMBER((Datos!M15-Datos!W15)/Datos!W15),(Datos!M15-Datos!W15)/Datos!W15," - ")</f>
        <v>-5.308464849354376E-2</v>
      </c>
      <c r="G15" s="460">
        <f>IF(ISNUMBER((Datos!N15-Datos!X15)/Datos!X15),(Datos!N15-Datos!X15)/Datos!X15," - ")</f>
        <v>-8.7940493775058026E-2</v>
      </c>
      <c r="H15" s="458">
        <f>IF(ISNUMBER(((NºAsuntos!G15/NºAsuntos!E15)-Datos!BD15)/Datos!BD15),((NºAsuntos!G15/NºAsuntos!E15)-Datos!BD15)/Datos!BD15," - ")</f>
        <v>-7.1961764496236555E-3</v>
      </c>
      <c r="I15" s="459">
        <f>IF(ISNUMBER(((NºAsuntos!I15/NºAsuntos!G15)-Datos!BE15)/Datos!BE15),((NºAsuntos!I15/NºAsuntos!G15)-Datos!BE15)/Datos!BE15," - ")</f>
        <v>0.18594072566768016</v>
      </c>
      <c r="J15" s="464">
        <f>IF(ISNUMBER((('Resol  Asuntos'!D15/NºAsuntos!G15)-Datos!BF15)/Datos!BF15),(('Resol  Asuntos'!D15/NºAsuntos!G15)-Datos!BF15)/Datos!BF15," - ")</f>
        <v>-1.0671285447882185E-2</v>
      </c>
      <c r="K15" s="465">
        <f>IF(ISNUMBER((((NºAsuntos!C15+NºAsuntos!E15)/NºAsuntos!G15)-Datos!BG15)/Datos!BG15),(((NºAsuntos!C15+NºAsuntos!E15)/NºAsuntos!G15)-Datos!BG15)/Datos!BG15," - ")</f>
        <v>8.1508390809206903E-3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6.6666666666666666E-2</v>
      </c>
      <c r="C17" s="459">
        <f>IF(ISNUMBER(
   IF(D_I="SI",(Datos!J17-Datos!T17)/Datos!T17,(Datos!J17+Datos!AD17-(Datos!T17+Datos!AL17))/(Datos!T17+Datos!AL17))
     ),IF(D_I="SI",(Datos!J17-Datos!T17)/Datos!T17,(Datos!J17+Datos!AD17-(Datos!T17+Datos!AL17))/(Datos!T17+Datos!AL17))," - ")</f>
        <v>0.18334985133795836</v>
      </c>
      <c r="D17" s="459">
        <f>IF(ISNUMBER(
   IF(D_I="SI",(Datos!K17-Datos!U17)/Datos!U17,(Datos!K17+Datos!AE17-(Datos!U17+Datos!AM17))/(Datos!U17+Datos!AM17))
     ),IF(D_I="SI",(Datos!K17-Datos!U17)/Datos!U17,(Datos!K17+Datos!AE17-(Datos!U17+Datos!AM17))/(Datos!U17+Datos!AM17))," - ")</f>
        <v>0.1534603811434303</v>
      </c>
      <c r="E17" s="459">
        <f>IF(ISNUMBER(
   IF(D_I="SI",(Datos!L17-Datos!V17)/Datos!V17,(Datos!L17+Datos!AF17-(Datos!V17+Datos!AN17))/(Datos!V17+Datos!AN17))
     ),IF(D_I="SI",(Datos!L17-Datos!V17)/Datos!V17,(Datos!L17+Datos!AF17-(Datos!V17+Datos!AN17))/(Datos!V17+Datos!AN17))," - ")</f>
        <v>0.22916666666666666</v>
      </c>
      <c r="F17" s="459">
        <f>IF(ISNUMBER((Datos!M17-Datos!W17)/Datos!W17),(Datos!M17-Datos!W17)/Datos!W17," - ")</f>
        <v>0.31521739130434784</v>
      </c>
      <c r="G17" s="460">
        <f>IF(ISNUMBER((Datos!N17-Datos!X17)/Datos!X17),(Datos!N17-Datos!X17)/Datos!X17," - ")</f>
        <v>-0.11504424778761062</v>
      </c>
      <c r="H17" s="458">
        <f>IF(ISNUMBER(((NºAsuntos!G17/NºAsuntos!E17)-Datos!BD17)/Datos!BD17),((NºAsuntos!G17/NºAsuntos!E17)-Datos!BD17)/Datos!BD17," - ")</f>
        <v>-2.5258354628374183E-2</v>
      </c>
      <c r="I17" s="459">
        <f>IF(ISNUMBER(((NºAsuntos!I17/NºAsuntos!G17)-Datos!BE17)/Datos!BE17),((NºAsuntos!I17/NºAsuntos!G17)-Datos!BE17)/Datos!BE17," - ")</f>
        <v>6.5634057971014556E-2</v>
      </c>
      <c r="J17" s="464">
        <f>IF(ISNUMBER((('Resol  Asuntos'!D17/NºAsuntos!G17)-Datos!BF17)/Datos!BF17),(('Resol  Asuntos'!D17/NºAsuntos!G17)-Datos!BF17)/Datos!BF17," - ")</f>
        <v>0.14023629489603034</v>
      </c>
      <c r="K17" s="465">
        <f>IF(ISNUMBER((((NºAsuntos!C17+NºAsuntos!E17)/NºAsuntos!G17)-Datos!BG17)/Datos!BG17),(((NºAsuntos!C17+NºAsuntos!E17)/NºAsuntos!G17)-Datos!BG17)/Datos!BG17," - ")</f>
        <v>1.0598603137455625E-2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-2.2429906542056073E-2</v>
      </c>
      <c r="C18" s="858">
        <f>IF(ISNUMBER(
   IF(Criterios!B14="SI",(Datos!J18-Datos!T18)/Datos!T18,(Datos!J18+Datos!AD18-(Datos!T18+Datos!AL18))/(Datos!T18+Datos!AL18))
     ),IF(Criterios!B14="SI",(Datos!J18-Datos!T18)/Datos!T18,(Datos!J18+Datos!AD18-(Datos!T18+Datos!AL18))/(Datos!T18+Datos!AL18))," - ")</f>
        <v>-2.767093618133612E-2</v>
      </c>
      <c r="D18" s="858">
        <f>IF(ISNUMBER(
   IF(Criterios!B14="SI",(Datos!K18-Datos!U18)/Datos!U18,(Datos!K18+Datos!AE18-(Datos!U18+Datos!AM18))/(Datos!U18+Datos!AM18))
     ),IF(Criterios!B14="SI",(Datos!K18-Datos!U18)/Datos!U18,(Datos!K18+Datos!AE18-(Datos!U18+Datos!AM18))/(Datos!U18+Datos!AM18))," - ")</f>
        <v>-3.5635073192370248E-2</v>
      </c>
      <c r="E18" s="858">
        <f>IF(ISNUMBER(
   IF(Criterios!B14="SI",(Datos!L18-Datos!V18)/Datos!V18,(Datos!L18+Datos!AF18-(Datos!V18+Datos!AN18))/(Datos!V18+Datos!AN18))
     ),IF(Criterios!B14="SI",(Datos!L18-Datos!V18)/Datos!V18,(Datos!L18+Datos!AF18-(Datos!V18+Datos!AN18))/(Datos!V18+Datos!AN18))," - ")</f>
        <v>0.1408540471637986</v>
      </c>
      <c r="F18" s="859">
        <f>IF(ISNUMBER((Datos!M18-Datos!W18)/Datos!W18),(Datos!M18-Datos!W18)/Datos!W18," - ")</f>
        <v>-3.7562986715529087E-2</v>
      </c>
      <c r="G18" s="860">
        <f>IF(ISNUMBER((Datos!N18-Datos!X18)/Datos!X18),(Datos!N18-Datos!X18)/Datos!X18," - ")</f>
        <v>-8.8724962860509196E-2</v>
      </c>
      <c r="H18" s="860">
        <f>IF(ISNUMBER(((NºAsuntos!G18/NºAsuntos!E18)-Datos!BD18)/Datos!BD18),((NºAsuntos!G18/NºAsuntos!E18)-Datos!BD18)/Datos!BD18," - ")</f>
        <v>-8.1907836630496396E-3</v>
      </c>
      <c r="I18" s="860">
        <f>IF(ISNUMBER(((NºAsuntos!I18/NºAsuntos!G18)-Datos!BE18)/Datos!BE18),((NºAsuntos!I18/NºAsuntos!G18)-Datos!BE18)/Datos!BE18," - ")</f>
        <v>0.18301072078637989</v>
      </c>
      <c r="J18" s="860">
        <f>IF(ISNUMBER((('Resol  Asuntos'!D18/NºAsuntos!G18)-Datos!BF18)/Datos!BF18),(('Resol  Asuntos'!D18/NºAsuntos!G18)-Datos!BF18)/Datos!BF18," - ")</f>
        <v>-1.9991535046187678E-3</v>
      </c>
      <c r="K18" s="860">
        <f>IF(ISNUMBER((((NºAsuntos!C18+NºAsuntos!E18)/NºAsuntos!G18)-Datos!BG18)/Datos!BG18),(((NºAsuntos!C18+NºAsuntos!E18)/NºAsuntos!G18)-Datos!BG18)/Datos!BG18," - ")</f>
        <v>8.840152357203427E-3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3.6973694926296929E-2</v>
      </c>
      <c r="C19" s="805">
        <f>IF(ISNUMBER(
   IF(J_V="SI",(Datos!J19-Datos!T19)/Datos!T19,(Datos!J19+Datos!Z19-(Datos!T19+Datos!AH19))/(Datos!T19+Datos!AH19))
     ),IF(J_V="SI",(Datos!J19-Datos!T19)/Datos!T19,(Datos!J19+Datos!Z19-(Datos!T19+Datos!AH19))/(Datos!T19+Datos!AH19))," - ")</f>
        <v>-1.416776588988226E-2</v>
      </c>
      <c r="D19" s="805">
        <f>IF(ISNUMBER(
   IF(J_V="SI",(Datos!K19-Datos!U19)/Datos!U19,(Datos!K19+Datos!AA19-(Datos!U19+Datos!AI19))/(Datos!U19+Datos!AI19))
     ),IF(J_V="SI",(Datos!K19-Datos!U19)/Datos!U19,(Datos!K19+Datos!AA19-(Datos!U19+Datos!AI19))/(Datos!U19+Datos!AI19))," - ")</f>
        <v>-3.2461523475550362E-2</v>
      </c>
      <c r="E19" s="805">
        <f>IF(ISNUMBER(
   IF(J_V="SI",(Datos!L19-Datos!V19)/Datos!V19,(Datos!L19+Datos!AB19-(Datos!V19+Datos!AJ19))/(Datos!V19+Datos!AJ19))
     ),IF(J_V="SI",(Datos!L19-Datos!V19)/Datos!V19,(Datos!L19+Datos!AB19-(Datos!V19+Datos!AJ19))/(Datos!V19+Datos!AJ19))," - ")</f>
        <v>8.2070211262074921E-2</v>
      </c>
      <c r="F19" s="806">
        <f>IF(ISNUMBER((Datos!M19-Datos!W19)/Datos!W19),(Datos!M19-Datos!W19)/Datos!W19," - ")</f>
        <v>-0.15712664180314578</v>
      </c>
      <c r="G19" s="807">
        <f>IF(ISNUMBER((Datos!N19-Datos!X19)/Datos!X19),(Datos!N19-Datos!X19)/Datos!X19," - ")</f>
        <v>-5.9200849812060793E-2</v>
      </c>
      <c r="H19" s="808">
        <f>IF(ISNUMBER((Tasas!B19-Datos!BD19)/Datos!BD19),(Tasas!B19-Datos!BD19)/Datos!BD19," - ")</f>
        <v>-1.8556664057735279E-2</v>
      </c>
      <c r="I19" s="809">
        <f>IF(ISNUMBER((Tasas!C19-Datos!BE19)/Datos!BE19),(Tasas!C19-Datos!BE19)/Datos!BE19," - ")</f>
        <v>0.11837434636092339</v>
      </c>
      <c r="J19" s="810">
        <f>IF(ISNUMBER((Tasas!D19-Datos!BF19)/Datos!BF19),(Tasas!D19-Datos!BF19)/Datos!BF19," - ")</f>
        <v>-0.24619108121169167</v>
      </c>
      <c r="K19" s="810">
        <f>IF(ISNUMBER((Tasas!E19-Datos!BG19)/Datos!BG19),(Tasas!E19-Datos!BG19)/Datos!BG19," - ")</f>
        <v>3.1103526875262976E-2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N0/l1TOvSHnKU1RQczbnzqHuvMsfqX51fKEy2t3Q8RdUL6d2oMdwPN8j/6TihHxE3fl3HyAyIbA7Rq/eUkcCA==" saltValue="ZuJM8HqNDaBfsiCt44mC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TARRAGONA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0.9515704781061427</v>
      </c>
      <c r="C9" s="446">
        <f>IF(ISNUMBER(NºAsuntos!I9/NºAsuntos!G9),NºAsuntos!I9/NºAsuntos!G9," - ")</f>
        <v>0.76235772357723575</v>
      </c>
      <c r="D9" s="447">
        <f>IF(ISNUMBER('Resol  Asuntos'!D9/NºAsuntos!G9),'Resol  Asuntos'!D9/NºAsuntos!G9," - ")</f>
        <v>0.19934959349593495</v>
      </c>
      <c r="E9" s="448">
        <f>IF(ISNUMBER((NºAsuntos!C9+NºAsuntos!E9)/NºAsuntos!G9),(NºAsuntos!C9+NºAsuntos!E9)/NºAsuntos!G9," - ")</f>
        <v>1.7683739837398373</v>
      </c>
      <c r="G9" s="466"/>
    </row>
    <row r="10" spans="1:7">
      <c r="A10" s="405" t="str">
        <f>Datos!A10</f>
        <v>Jdos. Violencia contra la mujer</v>
      </c>
      <c r="B10" s="445">
        <f>IF(ISNUMBER(NºAsuntos!G10/NºAsuntos!E10),NºAsuntos!G10/NºAsuntos!E10," - ")</f>
        <v>1.0769230769230769</v>
      </c>
      <c r="C10" s="446">
        <f>IF(ISNUMBER(NºAsuntos!I10/NºAsuntos!G10),NºAsuntos!I10/NºAsuntos!G10," - ")</f>
        <v>1</v>
      </c>
      <c r="D10" s="447">
        <f>IF(ISNUMBER('Resol  Asuntos'!D10/NºAsuntos!G10),'Resol  Asuntos'!D10/NºAsuntos!G10," - ")</f>
        <v>0.5625</v>
      </c>
      <c r="E10" s="448">
        <f>IF(ISNUMBER((NºAsuntos!C10+NºAsuntos!E10)/NºAsuntos!G10),(NºAsuntos!C10+NºAsuntos!E10)/NºAsuntos!G10," - ")</f>
        <v>2</v>
      </c>
      <c r="G10" s="466"/>
    </row>
    <row r="11" spans="1:7">
      <c r="A11" s="405" t="str">
        <f>Datos!A11</f>
        <v xml:space="preserve">Jdos. Familia                                   </v>
      </c>
      <c r="B11" s="445">
        <f>IF(ISNUMBER(NºAsuntos!G11/NºAsuntos!E11),NºAsuntos!G11/NºAsuntos!E11," - ")</f>
        <v>0.95426356589147288</v>
      </c>
      <c r="C11" s="446">
        <f>IF(ISNUMBER(NºAsuntos!I11/NºAsuntos!G11),NºAsuntos!I11/NºAsuntos!G11," - ")</f>
        <v>0.57595450852965069</v>
      </c>
      <c r="D11" s="447">
        <f>IF(ISNUMBER('Resol  Asuntos'!D11/NºAsuntos!G11),'Resol  Asuntos'!D11/NºAsuntos!G11," - ")</f>
        <v>0.47278635255889523</v>
      </c>
      <c r="E11" s="448">
        <f>IF(ISNUMBER((NºAsuntos!C11+NºAsuntos!E11)/NºAsuntos!G11),(NºAsuntos!C11+NºAsuntos!E11)/NºAsuntos!G11," - ")</f>
        <v>1.5759545085296507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0.95272346368715088</v>
      </c>
      <c r="C13" s="862">
        <f>IF(ISNUMBER(NºAsuntos!I13/NºAsuntos!G13),NºAsuntos!I13/NºAsuntos!G13," - ")</f>
        <v>0.74748955508319281</v>
      </c>
      <c r="D13" s="863">
        <f>IF(ISNUMBER('Resol  Asuntos'!D13/NºAsuntos!G13),'Resol  Asuntos'!D13/NºAsuntos!G13," - ")</f>
        <v>0.22700285860881039</v>
      </c>
      <c r="E13" s="864">
        <f>IF(ISNUMBER((NºAsuntos!C13+NºAsuntos!E13)/NºAsuntos!G13),(NºAsuntos!C13+NºAsuntos!E13)/NºAsuntos!G13," - ")</f>
        <v>1.7529135820567323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1.0037836097246819</v>
      </c>
      <c r="C15" s="446">
        <f>IF(ISNUMBER(NºAsuntos!I15/NºAsuntos!G15),NºAsuntos!I15/NºAsuntos!G15," - ")</f>
        <v>0.13409254952281657</v>
      </c>
      <c r="D15" s="447">
        <f>IF(ISNUMBER('Resol  Asuntos'!D15/NºAsuntos!G15),'Resol  Asuntos'!D15/NºAsuntos!G15," - ")</f>
        <v>7.9396904322720341E-2</v>
      </c>
      <c r="E15" s="448">
        <f>IF(ISNUMBER((NºAsuntos!C15+NºAsuntos!E15)/NºAsuntos!G15),(NºAsuntos!C15+NºAsuntos!E15)/NºAsuntos!G15," - ")</f>
        <v>1.1143636217820194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0.9631490787269682</v>
      </c>
      <c r="C17" s="446">
        <f>IF(ISNUMBER(NºAsuntos!I17/NºAsuntos!G17),NºAsuntos!I17/NºAsuntos!G17," - ")</f>
        <v>0.20521739130434782</v>
      </c>
      <c r="D17" s="447">
        <f>IF(ISNUMBER('Resol  Asuntos'!D17/NºAsuntos!G17),'Resol  Asuntos'!D17/NºAsuntos!G17," - ")</f>
        <v>0.10521739130434783</v>
      </c>
      <c r="E17" s="448">
        <f>IF(ISNUMBER((NºAsuntos!C17+NºAsuntos!E17)/NºAsuntos!G17),(NºAsuntos!C17+NºAsuntos!E17)/NºAsuntos!G17," - ")</f>
        <v>1.2052173913043478</v>
      </c>
      <c r="G17" s="466"/>
    </row>
    <row r="18" spans="1:7" ht="14.25" thickTop="1" thickBot="1">
      <c r="A18" s="851" t="str">
        <f>Datos!A18</f>
        <v>TOTAL</v>
      </c>
      <c r="B18" s="861">
        <f>IF(ISNUMBER(NºAsuntos!G18/NºAsuntos!E18),NºAsuntos!G18/NºAsuntos!E18," - ")</f>
        <v>1.0019202703740686</v>
      </c>
      <c r="C18" s="862">
        <f>IF(ISNUMBER(NºAsuntos!I18/NºAsuntos!G18),NºAsuntos!I18/NºAsuntos!G18," - ")</f>
        <v>0.13722784421956455</v>
      </c>
      <c r="D18" s="865">
        <f>IF(ISNUMBER('Resol  Asuntos'!D18/NºAsuntos!G18),'Resol  Asuntos'!D18/NºAsuntos!G18," - ")</f>
        <v>8.0535111928856179E-2</v>
      </c>
      <c r="E18" s="864">
        <f>IF(ISNUMBER((NºAsuntos!C18+NºAsuntos!E18)/NºAsuntos!G18),(NºAsuntos!C18+NºAsuntos!E18)/NºAsuntos!G18," - ")</f>
        <v>1.1183685985893899</v>
      </c>
      <c r="G18" s="466"/>
    </row>
    <row r="19" spans="1:7" ht="15.75" customHeight="1" thickTop="1" thickBot="1">
      <c r="A19" s="796" t="str">
        <f>Datos!A19</f>
        <v>TOTAL JURISDICCIONES</v>
      </c>
      <c r="B19" s="811">
        <f>IF(ISNUMBER(NºAsuntos!G19/NºAsuntos!E19),NºAsuntos!G19/NºAsuntos!E19," - ")</f>
        <v>0.98446404678130728</v>
      </c>
      <c r="C19" s="812">
        <f>IF(ISNUMBER(NºAsuntos!I19/NºAsuntos!G19),NºAsuntos!I19/NºAsuntos!G19," - ")</f>
        <v>0.34678210968764944</v>
      </c>
      <c r="D19" s="813">
        <f>IF(ISNUMBER('Resol  Asuntos'!D19/NºAsuntos!G19),'Resol  Asuntos'!D19/NºAsuntos!G19," - ")</f>
        <v>0.13082983061085801</v>
      </c>
      <c r="E19" s="814">
        <f>IF(ISNUMBER((NºAsuntos!C19+NºAsuntos!E19)/NºAsuntos!G19),(NºAsuntos!C19+NºAsuntos!E19)/NºAsuntos!G19," - ")</f>
        <v>1.3362613576300622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rNPMN+qkXiOtV2cK1hdFvw9LyVmf7CVMRVLLsi+iVINsNMHTeWZVtCkwZU8haBx1WBuwT9CvnGZrP2HBDQhw==" saltValue="QyXeHWwwMkOAwNLcO+hp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TARRAGONA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246</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4038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3836</v>
      </c>
      <c r="Y9" s="337">
        <f>SUM(W9:X9)</f>
        <v>3836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11945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2452</v>
      </c>
      <c r="AJ9" s="232" t="str">
        <f>IF(ISNUMBER(Datos!BW9),Datos!BW9," - ")</f>
        <v xml:space="preserve"> - </v>
      </c>
      <c r="AK9" s="231" t="str">
        <f>IF(ISNUMBER(Datos!BX9),Datos!BX9," - ")</f>
        <v xml:space="preserve"> - </v>
      </c>
      <c r="AL9" s="246">
        <f>IF(ISNUMBER(NºAsuntos!G9/NºAsuntos!E9),NºAsuntos!G9/NºAsuntos!E9," - ")</f>
        <v>0.9515704781061427</v>
      </c>
      <c r="AM9" s="263">
        <f>IF(ISNUMBER(((NºAsuntos!I9/NºAsuntos!G9)*11)/factor_trimestre),((NºAsuntos!I9/NºAsuntos!G9)*11)/factor_trimestre," - ")</f>
        <v>8.3859349593495924</v>
      </c>
      <c r="AN9" s="247">
        <f>IF(ISNUMBER('Resol  Asuntos'!D9/NºAsuntos!G9),'Resol  Asuntos'!D9/NºAsuntos!G9," - ")</f>
        <v>0.19934959349593495</v>
      </c>
      <c r="AO9" s="248">
        <f>IF(ISNUMBER((NºAsuntos!C9+NºAsuntos!E9)/NºAsuntos!G9),(NºAsuntos!C9+NºAsuntos!E9)/NºAsuntos!G9," - ")</f>
        <v>1.7683739837398373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1</v>
      </c>
      <c r="F10" s="228">
        <f>IF(ISNUMBER(Datos!L10+Datos!K10-Datos!J10-K10),Datos!L10+Datos!K10-Datos!J10-K10," - ")</f>
        <v>120</v>
      </c>
      <c r="G10" s="336">
        <f>IF(ISNUMBER(Datos!I10),Datos!I10," - ")</f>
        <v>120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112</v>
      </c>
      <c r="X10" s="229">
        <f>IF(ISNUMBER(Datos!Q10),Datos!Q10," - ")</f>
        <v>37</v>
      </c>
      <c r="Y10" s="337">
        <f t="shared" ref="Y10:Y12" si="0">SUM(W10:X10)</f>
        <v>149</v>
      </c>
      <c r="Z10" s="338" t="str">
        <f>IF(ISNUMBER(Datos!CC10),Datos!CC10," - ")</f>
        <v xml:space="preserve"> - </v>
      </c>
      <c r="AA10" s="335">
        <f>IF(ISNUMBER(Datos!L10),Datos!L10,"-")</f>
        <v>112</v>
      </c>
      <c r="AB10" s="337">
        <f>IF(ISNUMBER(Datos!R10),Datos!R10," - ")</f>
        <v>179</v>
      </c>
      <c r="AC10" s="337">
        <f t="shared" ref="AC10:AC12" si="1">IF(ISNUMBER(AA10+AB10),AA10+AB10," - ")</f>
        <v>291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63</v>
      </c>
      <c r="AJ10" s="234" t="str">
        <f>IF(ISNUMBER(Datos!BW10),Datos!BW10," - ")</f>
        <v xml:space="preserve"> - </v>
      </c>
      <c r="AK10" s="235" t="str">
        <f>IF(ISNUMBER(Datos!BX10),Datos!BX10," - ")</f>
        <v xml:space="preserve"> - </v>
      </c>
      <c r="AL10" s="246">
        <f>IF(ISNUMBER(NºAsuntos!G10/NºAsuntos!E10),NºAsuntos!G10/NºAsuntos!E10," - ")</f>
        <v>1.0769230769230769</v>
      </c>
      <c r="AM10" s="263">
        <f>IF(ISNUMBER(((NºAsuntos!I10/NºAsuntos!G10)*11)/factor_trimestre),((NºAsuntos!I10/NºAsuntos!G10)*11)/factor_trimestre," - ")</f>
        <v>11</v>
      </c>
      <c r="AN10" s="247">
        <f>IF(ISNUMBER('Resol  Asuntos'!D10/NºAsuntos!G10),'Resol  Asuntos'!D10/NºAsuntos!G10," - ")</f>
        <v>0.5625</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246</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238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261</v>
      </c>
      <c r="Y11" s="337">
        <f t="shared" si="0"/>
        <v>261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753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582</v>
      </c>
      <c r="AJ11" s="234" t="str">
        <f>IF(ISNUMBER(Datos!BW11),Datos!BW11," - ")</f>
        <v xml:space="preserve"> - </v>
      </c>
      <c r="AK11" s="235" t="str">
        <f>IF(ISNUMBER(Datos!BX11),Datos!BX11," - ")</f>
        <v xml:space="preserve"> - </v>
      </c>
      <c r="AL11" s="246">
        <f>IF(ISNUMBER(NºAsuntos!G11/NºAsuntos!E11),NºAsuntos!G11/NºAsuntos!E11," - ")</f>
        <v>0.95426356589147288</v>
      </c>
      <c r="AM11" s="263">
        <f>IF(ISNUMBER(((NºAsuntos!I11/NºAsuntos!G11)*11)/factor_trimestre),((NºAsuntos!I11/NºAsuntos!G11)*11)/factor_trimestre," - ")</f>
        <v>6.3354995938261576</v>
      </c>
      <c r="AN11" s="247">
        <f>IF(ISNUMBER('Resol  Asuntos'!D11/NºAsuntos!G11),'Resol  Asuntos'!D11/NºAsuntos!G11," - ")</f>
        <v>0.47278635255889523</v>
      </c>
      <c r="AO11" s="248">
        <f>IF(ISNUMBER((NºAsuntos!C11+NºAsuntos!E11)/NºAsuntos!G11),(NºAsuntos!C11+NºAsuntos!E11)/NºAsuntos!G11," - ")</f>
        <v>1.5759545085296507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120</v>
      </c>
      <c r="G13" s="869">
        <f t="shared" si="3"/>
        <v>120</v>
      </c>
      <c r="H13" s="868">
        <f t="shared" si="3"/>
        <v>0</v>
      </c>
      <c r="I13" s="870">
        <f t="shared" si="3"/>
        <v>0</v>
      </c>
      <c r="J13" s="870">
        <f t="shared" si="3"/>
        <v>0</v>
      </c>
      <c r="K13" s="870">
        <f t="shared" si="3"/>
        <v>0</v>
      </c>
      <c r="L13" s="870">
        <f t="shared" si="3"/>
        <v>4316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112</v>
      </c>
      <c r="X13" s="870">
        <f t="shared" si="4"/>
        <v>4134</v>
      </c>
      <c r="Y13" s="871">
        <f t="shared" si="4"/>
        <v>4246</v>
      </c>
      <c r="Z13" s="871">
        <f t="shared" si="4"/>
        <v>0</v>
      </c>
      <c r="AA13" s="871">
        <f t="shared" si="4"/>
        <v>112</v>
      </c>
      <c r="AB13" s="871">
        <f t="shared" si="4"/>
        <v>12877</v>
      </c>
      <c r="AC13" s="871">
        <f t="shared" si="4"/>
        <v>291</v>
      </c>
      <c r="AD13" s="871">
        <f t="shared" si="4"/>
        <v>0</v>
      </c>
      <c r="AE13" s="875">
        <f t="shared" si="4"/>
        <v>0</v>
      </c>
      <c r="AF13" s="868">
        <f t="shared" si="4"/>
        <v>0</v>
      </c>
      <c r="AG13" s="876">
        <f t="shared" si="4"/>
        <v>0</v>
      </c>
      <c r="AH13" s="873">
        <f t="shared" si="4"/>
        <v>0</v>
      </c>
      <c r="AI13" s="868">
        <f t="shared" si="4"/>
        <v>3097</v>
      </c>
      <c r="AJ13" s="870">
        <f t="shared" si="4"/>
        <v>0</v>
      </c>
      <c r="AK13" s="873">
        <f>SUBTOTAL(9,AK9:AK12)</f>
        <v>0</v>
      </c>
      <c r="AL13" s="877">
        <f>IF(ISNUMBER(NºAsuntos!G13/NºAsuntos!E13),NºAsuntos!G13/NºAsuntos!E13," - ")</f>
        <v>0.95272346368715088</v>
      </c>
      <c r="AM13" s="877">
        <f>IF(ISNUMBER(((NºAsuntos!I13/NºAsuntos!G13)*11)/factor_trimestre),((NºAsuntos!I13/NºAsuntos!G13)*11)/factor_trimestre," - ")</f>
        <v>8.2223851059151212</v>
      </c>
      <c r="AN13" s="878">
        <f>IF(ISNUMBER('Resol  Asuntos'!D13/NºAsuntos!G13),'Resol  Asuntos'!D13/NºAsuntos!G13," - ")</f>
        <v>0.22700285860881039</v>
      </c>
      <c r="AO13" s="879">
        <f>IF(ISNUMBER((NºAsuntos!C13+NºAsuntos!E13)/NºAsuntos!G13),(NºAsuntos!C13+NºAsuntos!E13)/NºAsuntos!G13," - ")</f>
        <v>1.7529135820567323</v>
      </c>
      <c r="AP13" s="880" t="str">
        <f t="shared" si="2"/>
        <v xml:space="preserve"> - </v>
      </c>
      <c r="AQ13" s="880">
        <f>IF(ISNUMBER((H13-W13+K13)/(F13)),(H13-W13+K13)/(F13)," - ")</f>
        <v>-0.93333333333333335</v>
      </c>
      <c r="AR13" s="881">
        <f>IF(ISNUMBER((Datos!P13-Datos!Q13)/(Datos!R13-Datos!P13+Datos!Q13)),(Datos!P13-Datos!Q13)/(Datos!R13-Datos!P13+Datos!Q13)," - ")</f>
        <v>1.4336352894840488E-2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396</v>
      </c>
      <c r="C15" s="163" t="str">
        <f>Datos!A15</f>
        <v xml:space="preserve">Jdos. Instrucción                               </v>
      </c>
      <c r="D15" s="163"/>
      <c r="E15" s="1028">
        <f>IF(ISNUMBER(Datos!AQ15),Datos!AQ15," - ")</f>
        <v>6</v>
      </c>
      <c r="F15" s="228">
        <f>IF(ISNUMBER(AA15+W15-Datos!J15-K15),AA15+W15-Datos!J15-K15," - ")</f>
        <v>3438</v>
      </c>
      <c r="G15" s="336">
        <f>IF(ISNUMBER(IF(D_I="SI",Datos!I15,Datos!I15+Datos!AC15)),IF(D_I="SI",Datos!I15,Datos!I15+Datos!AC15)," - ")</f>
        <v>2946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581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24938</v>
      </c>
      <c r="X15" s="229">
        <f>IF(ISNUMBER(Datos!Q15),Datos!Q15," - ")</f>
        <v>688</v>
      </c>
      <c r="Y15" s="337">
        <f>SUM(W15)</f>
        <v>24938</v>
      </c>
      <c r="Z15" s="338" t="str">
        <f>IF(ISNUMBER(Datos!CC15),Datos!CC15," - ")</f>
        <v xml:space="preserve"> - </v>
      </c>
      <c r="AA15" s="335">
        <f>IF(ISNUMBER(IF(D_I="SI",Datos!L15,Datos!L15+Datos!AF15)),IF(D_I="SI",Datos!L15,Datos!L15+Datos!AF15)," - ")</f>
        <v>3344</v>
      </c>
      <c r="AB15" s="337">
        <f>IF(ISNUMBER(Datos!R15),Datos!R15," - ")</f>
        <v>523</v>
      </c>
      <c r="AC15" s="337">
        <f t="shared" ref="AC15:AC17" si="6">IF(ISNUMBER(AA15+AB15),AA15+AB15," - ")</f>
        <v>3867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1980</v>
      </c>
      <c r="AJ15" s="234" t="str">
        <f>IF(ISNUMBER(Datos!BW15),Datos!BW15," - ")</f>
        <v xml:space="preserve"> - </v>
      </c>
      <c r="AK15" s="235" t="str">
        <f>IF(ISNUMBER(Datos!BX15),Datos!BX15," - ")</f>
        <v xml:space="preserve"> - </v>
      </c>
      <c r="AL15" s="246">
        <f>IF(ISNUMBER(NºAsuntos!G15/NºAsuntos!E15),NºAsuntos!G15/NºAsuntos!E15," - ")</f>
        <v>1.0037836097246819</v>
      </c>
      <c r="AM15" s="263">
        <f>IF(ISNUMBER(((NºAsuntos!I15/NºAsuntos!G15)*11)/factor_trimestre),((NºAsuntos!I15/NºAsuntos!G15)*11)/factor_trimestre," - ")</f>
        <v>1.4750180447509824</v>
      </c>
      <c r="AN15" s="247">
        <f>IF(ISNUMBER('Resol  Asuntos'!D15/NºAsuntos!G15),'Resol  Asuntos'!D15/NºAsuntos!G15," - ")</f>
        <v>7.9396904322720341E-2</v>
      </c>
      <c r="AO15" s="248">
        <f>IF(ISNUMBER((NºAsuntos!C15+NºAsuntos!E15)/NºAsuntos!G15),(NºAsuntos!C15+NºAsuntos!E15)/NºAsuntos!G15," - ")</f>
        <v>1.1143636217820194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192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1150</v>
      </c>
      <c r="X17" s="229">
        <f>IF(ISNUMBER(Datos!Q17),Datos!Q17," - ")</f>
        <v>2</v>
      </c>
      <c r="Y17" s="337">
        <f t="shared" si="7"/>
        <v>1152</v>
      </c>
      <c r="Z17" s="338" t="str">
        <f>IF(ISNUMBER(Datos!CC17),Datos!CC17," - ")</f>
        <v xml:space="preserve"> - </v>
      </c>
      <c r="AA17" s="335">
        <f>IF(ISNUMBER(Datos!L17),Datos!L17,"-")</f>
        <v>236</v>
      </c>
      <c r="AB17" s="337">
        <f>IF(ISNUMBER(Datos!R17),Datos!R17," - ")</f>
        <v>4</v>
      </c>
      <c r="AC17" s="337">
        <f t="shared" si="6"/>
        <v>240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121</v>
      </c>
      <c r="AJ17" s="234" t="str">
        <f>IF(ISNUMBER(Datos!BW17),Datos!BW17," - ")</f>
        <v xml:space="preserve"> - </v>
      </c>
      <c r="AK17" s="235" t="str">
        <f>IF(ISNUMBER(Datos!BX17),Datos!BX17," - ")</f>
        <v xml:space="preserve"> - </v>
      </c>
      <c r="AL17" s="246">
        <f>IF(ISNUMBER(NºAsuntos!G17/NºAsuntos!E17),NºAsuntos!G17/NºAsuntos!E17," - ")</f>
        <v>0.9631490787269682</v>
      </c>
      <c r="AM17" s="263">
        <f>IF(ISNUMBER(((NºAsuntos!I17/NºAsuntos!G17)*11)/factor_trimestre),((NºAsuntos!I17/NºAsuntos!G17)*11)/factor_trimestre," - ")</f>
        <v>2.2573913043478262</v>
      </c>
      <c r="AN17" s="247">
        <f>IF(ISNUMBER('Resol  Asuntos'!D17/NºAsuntos!G17),'Resol  Asuntos'!D17/NºAsuntos!G17," - ")</f>
        <v>0.10521739130434783</v>
      </c>
      <c r="AO17" s="248">
        <f>IF(ISNUMBER((NºAsuntos!C17+NºAsuntos!E17)/NºAsuntos!G17),(NºAsuntos!C17+NºAsuntos!E17)/NºAsuntos!G17," - ")</f>
        <v>1.2052173913043478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3438</v>
      </c>
      <c r="G18" s="869">
        <f>SUBTOTAL(9,G15:G17)</f>
        <v>3138</v>
      </c>
      <c r="H18" s="868">
        <f t="shared" ref="H18:O18" si="10">SUBTOTAL(9,H14:H17)</f>
        <v>0</v>
      </c>
      <c r="I18" s="870">
        <f t="shared" si="10"/>
        <v>0</v>
      </c>
      <c r="J18" s="870">
        <f t="shared" si="10"/>
        <v>0</v>
      </c>
      <c r="K18" s="870">
        <f t="shared" si="10"/>
        <v>0</v>
      </c>
      <c r="L18" s="870">
        <f t="shared" si="10"/>
        <v>586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26088</v>
      </c>
      <c r="X18" s="870">
        <f t="shared" si="11"/>
        <v>690</v>
      </c>
      <c r="Y18" s="871">
        <f t="shared" si="11"/>
        <v>26090</v>
      </c>
      <c r="Z18" s="871">
        <f t="shared" si="11"/>
        <v>0</v>
      </c>
      <c r="AA18" s="871">
        <f t="shared" si="11"/>
        <v>3580</v>
      </c>
      <c r="AB18" s="871">
        <f t="shared" si="11"/>
        <v>527</v>
      </c>
      <c r="AC18" s="871">
        <f t="shared" si="11"/>
        <v>4107</v>
      </c>
      <c r="AD18" s="871">
        <f t="shared" si="11"/>
        <v>0</v>
      </c>
      <c r="AE18" s="875">
        <f t="shared" si="11"/>
        <v>0</v>
      </c>
      <c r="AF18" s="868">
        <f t="shared" si="11"/>
        <v>0</v>
      </c>
      <c r="AG18" s="876">
        <f t="shared" si="11"/>
        <v>0</v>
      </c>
      <c r="AH18" s="873">
        <f t="shared" si="11"/>
        <v>0</v>
      </c>
      <c r="AI18" s="868">
        <f t="shared" si="11"/>
        <v>2101</v>
      </c>
      <c r="AJ18" s="870">
        <f t="shared" si="11"/>
        <v>0</v>
      </c>
      <c r="AK18" s="873">
        <f t="shared" si="11"/>
        <v>0</v>
      </c>
      <c r="AL18" s="877">
        <f>IF(ISNUMBER(NºAsuntos!G18/NºAsuntos!E18),NºAsuntos!G18/NºAsuntos!E18," - ")</f>
        <v>1.0019202703740686</v>
      </c>
      <c r="AM18" s="877">
        <f>IF(ISNUMBER(((NºAsuntos!I18/NºAsuntos!G18)*11)/factor_trimestre),((NºAsuntos!I18/NºAsuntos!G18)*11)/factor_trimestre," - ")</f>
        <v>1.50950628641521</v>
      </c>
      <c r="AN18" s="878">
        <f>IF(ISNUMBER('Resol  Asuntos'!D18/NºAsuntos!G18),'Resol  Asuntos'!D18/NºAsuntos!G18," - ")</f>
        <v>8.0535111928856179E-2</v>
      </c>
      <c r="AO18" s="879">
        <f>IF(ISNUMBER((NºAsuntos!C18+NºAsuntos!E18)/NºAsuntos!G18),(NºAsuntos!C18+NºAsuntos!E18)/NºAsuntos!G18," - ")</f>
        <v>1.1183685985893899</v>
      </c>
      <c r="AP18" s="880" t="str">
        <f t="shared" si="2"/>
        <v xml:space="preserve"> - </v>
      </c>
      <c r="AQ18" s="880">
        <f>IF(ISNUMBER((H18-W18+K18)/(F18)),(H18-W18+K18)/(F18)," - ")</f>
        <v>-7.5881326352530545</v>
      </c>
      <c r="AR18" s="881">
        <f>IF(ISNUMBER((Datos!P18-Datos!Q18)/(Datos!R18-Datos!P18+Datos!Q18)),(Datos!P18-Datos!Q18)/(Datos!R18-Datos!P18+Datos!Q18)," - ")</f>
        <v>-0.16481774960380349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3558</v>
      </c>
      <c r="G19" s="824">
        <f t="shared" si="13"/>
        <v>3258</v>
      </c>
      <c r="H19" s="823">
        <f t="shared" si="13"/>
        <v>0</v>
      </c>
      <c r="I19" s="825">
        <f t="shared" si="13"/>
        <v>0</v>
      </c>
      <c r="J19" s="825">
        <f t="shared" si="13"/>
        <v>0</v>
      </c>
      <c r="K19" s="884">
        <f t="shared" si="13"/>
        <v>0</v>
      </c>
      <c r="L19" s="825">
        <f t="shared" si="13"/>
        <v>4902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26200</v>
      </c>
      <c r="X19" s="824">
        <f t="shared" si="14"/>
        <v>4824</v>
      </c>
      <c r="Y19" s="831">
        <f t="shared" si="14"/>
        <v>30336</v>
      </c>
      <c r="Z19" s="831">
        <f t="shared" si="14"/>
        <v>0</v>
      </c>
      <c r="AA19" s="831">
        <f t="shared" si="14"/>
        <v>3692</v>
      </c>
      <c r="AB19" s="831">
        <f t="shared" si="14"/>
        <v>13404</v>
      </c>
      <c r="AC19" s="831">
        <f t="shared" si="14"/>
        <v>4398</v>
      </c>
      <c r="AD19" s="831">
        <f t="shared" si="14"/>
        <v>0</v>
      </c>
      <c r="AE19" s="833">
        <f t="shared" si="14"/>
        <v>0</v>
      </c>
      <c r="AF19" s="834">
        <f t="shared" si="14"/>
        <v>0</v>
      </c>
      <c r="AG19" s="835">
        <f t="shared" si="14"/>
        <v>0</v>
      </c>
      <c r="AH19" s="833">
        <f t="shared" si="14"/>
        <v>0</v>
      </c>
      <c r="AI19" s="823">
        <f t="shared" si="14"/>
        <v>5198</v>
      </c>
      <c r="AJ19" s="823">
        <f t="shared" si="14"/>
        <v>0</v>
      </c>
      <c r="AK19" s="833">
        <f t="shared" si="14"/>
        <v>0</v>
      </c>
      <c r="AL19" s="887">
        <f>IF(ISNUMBER(NºAsuntos!G19/NºAsuntos!E19),NºAsuntos!G19/NºAsuntos!E19," - ")</f>
        <v>0.98446404678130728</v>
      </c>
      <c r="AM19" s="888">
        <f>IF(ISNUMBER(((NºAsuntos!I19/NºAsuntos!G19)*11)/factor_trimestre),((NºAsuntos!I19/NºAsuntos!G19)*11)/factor_trimestre," - ")</f>
        <v>3.814603206564144</v>
      </c>
      <c r="AN19" s="888">
        <f>IF(ISNUMBER('Resol  Asuntos'!D19/NºAsuntos!G19),'Resol  Asuntos'!D19/NºAsuntos!G19," - ")</f>
        <v>0.13082983061085801</v>
      </c>
      <c r="AO19" s="889">
        <f>IF(ISNUMBER((NºAsuntos!C19+NºAsuntos!E19)/NºAsuntos!G19),(NºAsuntos!C19+NºAsuntos!E19)/NºAsuntos!G19," - ")</f>
        <v>1.3362613576300622</v>
      </c>
      <c r="AP19" s="890" t="str">
        <f t="shared" si="2"/>
        <v xml:space="preserve"> - </v>
      </c>
      <c r="AQ19" s="891">
        <f>IF(OR(ISNUMBER(FIND("01",Criterios!A8,1)),ISNUMBER(FIND("02",Criterios!A8,1)),ISNUMBER(FIND("03",Criterios!A8,1)),ISNUMBER(FIND("04",Criterios!A8,1))),(I19-W19+K19)/(F19-K19),(H19-W19+K19)/(F19-K19))</f>
        <v>-7.3636874648679029</v>
      </c>
      <c r="AR19" s="892">
        <f>IF(ISNUMBER((Datos!P19-Datos!Q19)/(Datos!R19-Datos!P19+Datos!Q19)),(Datos!P19-Datos!Q19)/(Datos!R19-Datos!P19+Datos!Q19)," - ")</f>
        <v>5.8532192705988296E-3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1303.2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3.6094013046179527</v>
      </c>
      <c r="F21" s="255">
        <f>IF(ISNUMBER(STDEV(F8:F18)),STDEV(F8:F18),"-")</f>
        <v>1915.6481931711783</v>
      </c>
      <c r="G21" s="256">
        <f>IF(ISNUMBER(STDEV(G8:G18)),STDEV(G8:G18),"-")</f>
        <v>1589.022718528593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13735.748760078572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1214.9144590699143</v>
      </c>
      <c r="AJ21" s="255">
        <f t="shared" si="18"/>
        <v>0</v>
      </c>
      <c r="AK21" s="257">
        <f t="shared" si="18"/>
        <v>0</v>
      </c>
      <c r="AL21" s="252">
        <f t="shared" si="18"/>
        <v>4.5931154065447503E-2</v>
      </c>
      <c r="AM21" s="253">
        <f t="shared" si="18"/>
        <v>3.8570263949791452</v>
      </c>
      <c r="AN21" s="253">
        <f t="shared" si="18"/>
        <v>0.19540263552362774</v>
      </c>
      <c r="AO21" s="254">
        <f t="shared" si="18"/>
        <v>0.35889570665472481</v>
      </c>
      <c r="AP21" s="294" t="str">
        <f t="shared" si="18"/>
        <v>-</v>
      </c>
      <c r="AQ21" s="295">
        <f t="shared" si="18"/>
        <v>4.7056537138229384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s+SAWzQRaF9/n5VHFXGPxuAxoYgJV60Dpw5FvDkanGKUCwkQulPoyMvIpvzAVwab8KOLOQVisAyBadSIlX7ug==" saltValue="Tn6/N8m0gb2mdgINJB8h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TARRAGONA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-0.26498800959232616</v>
      </c>
      <c r="I9" s="353">
        <f>IF(ISNUMBER((Tasas!C9-Datos!BE9)/Datos!BE9),(Tasas!C9-Datos!BE9)/Datos!BE9," - ")</f>
        <v>8.9761210529952271E-2</v>
      </c>
      <c r="J9" s="352">
        <f>IF(ISNUMBER((Tasas!D9-Datos!BF9)/Datos!BF9),(Tasas!D9-Datos!BF9)/Datos!BF9," - ")</f>
        <v>-0.44608036961426889</v>
      </c>
      <c r="K9" s="354">
        <f>IF(ISNUMBER((Tasas!E9-Datos!BG9)/Datos!BG9),(Tasas!E9-Datos!BG9)/Datos!BG9," - ")</f>
        <v>5.921075945482402E-2</v>
      </c>
      <c r="M9" t="e">
        <f>IF(Monitorios="SI",Datos!CE9,0)</f>
        <v>#REF!</v>
      </c>
      <c r="N9" t="e">
        <f>IF(Monitorios="SI",Datos!CF9,0)</f>
        <v>#REF!</v>
      </c>
      <c r="O9" t="e">
        <f>IF(Monitorios="SI",Datos!CG9,0)</f>
        <v>#REF!</v>
      </c>
      <c r="P9" t="e">
        <f>IF(Monitorios="SI",Datos!CH9,0)</f>
        <v>#REF!</v>
      </c>
      <c r="Q9">
        <f>IF(J_V="SI",0,Datos!AG9)</f>
        <v>191</v>
      </c>
      <c r="R9">
        <f>IF(J_V="SI",0,Datos!AH9)</f>
        <v>592</v>
      </c>
      <c r="S9">
        <f>IF(J_V="SI",0,Datos!AI9)</f>
        <v>614</v>
      </c>
      <c r="T9">
        <f>IF(J_V="SI",0,Datos!AJ9)</f>
        <v>187</v>
      </c>
    </row>
    <row r="10" spans="2:20" ht="14.25">
      <c r="B10" s="278" t="s">
        <v>246</v>
      </c>
      <c r="C10" s="7" t="str">
        <f>Datos!A10</f>
        <v>Jdos. Violencia contra la mujer</v>
      </c>
      <c r="D10" s="355">
        <f>IF(ISNUMBER((Datos!I10-Datos!S10)/Datos!S10),(Datos!I10-Datos!S10)/Datos!S10," - ")</f>
        <v>0.10091743119266056</v>
      </c>
      <c r="E10" s="351">
        <f>IF(ISNUMBER((Datos!J10-Datos!T10)/Datos!T10),(Datos!J10-Datos!T10)/Datos!T10," - ")</f>
        <v>-0.1875</v>
      </c>
      <c r="F10" s="351">
        <f>IF(ISNUMBER((Datos!K10-Datos!U10)/Datos!U10),(Datos!K10-Datos!U10)/Datos!U10," - ")</f>
        <v>-4.2735042735042736E-2</v>
      </c>
      <c r="G10" s="352">
        <f>IF(ISNUMBER((Datos!L10-Datos!V10)/Datos!V10),(Datos!L10-Datos!V10)/Datos!V10," - ")</f>
        <v>-6.6666666666666666E-2</v>
      </c>
      <c r="H10" s="233">
        <f>IF(ISNUMBER((Datos!M10-Datos!W10)/Datos!W10),(Datos!M10-Datos!W10)/Datos!W10," - ")</f>
        <v>0.75</v>
      </c>
      <c r="I10" s="353">
        <f>IF(ISNUMBER((Tasas!C10-Datos!BE10)/Datos!BE10),(Tasas!C10-Datos!BE10)/Datos!BE10," - ")</f>
        <v>-2.4999999999999915E-2</v>
      </c>
      <c r="J10" s="352">
        <f>IF(ISNUMBER((Tasas!D10-Datos!BF10)/Datos!BF10),(Tasas!D10-Datos!BF10)/Datos!BF10," - ")</f>
        <v>0.82812499999999989</v>
      </c>
      <c r="K10" s="354">
        <f>IF(ISNUMBER((Tasas!E10-Datos!BG10)/Datos!BG10),(Tasas!E10-Datos!BG10)/Datos!BG10," - ")</f>
        <v>-1.2658227848101222E-2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-4.9019607843137254E-2</v>
      </c>
      <c r="I11" s="353">
        <f>IF(ISNUMBER((Tasas!C11-Datos!BE11)/Datos!BE11),(Tasas!C11-Datos!BE11)/Datos!BE11," - ")</f>
        <v>0.13418733987377365</v>
      </c>
      <c r="J11" s="352">
        <f>IF(ISNUMBER((Tasas!D11-Datos!BF11)/Datos!BF11),(Tasas!D11-Datos!BF11)/Datos!BF11," - ")</f>
        <v>0.6444742697700705</v>
      </c>
      <c r="K11" s="354">
        <f>IF(ISNUMBER((Tasas!E11-Datos!BG11)/Datos!BG11),(Tasas!E11-Datos!BG11)/Datos!BG11," - ")</f>
        <v>4.5192627418628437E-2</v>
      </c>
      <c r="M11" t="e">
        <f>IF(Monitorios="SI",Datos!CE11,0)</f>
        <v>#REF!</v>
      </c>
      <c r="N11" t="e">
        <f>IF(Monitorios="SI",Datos!CF11,0)</f>
        <v>#REF!</v>
      </c>
      <c r="O11" t="e">
        <f>IF(Monitorios="SI",Datos!CG11,0)</f>
        <v>#REF!</v>
      </c>
      <c r="P11" t="e">
        <f>IF(Monitorios="SI",Datos!CH11,0)</f>
        <v>#REF!</v>
      </c>
      <c r="Q11">
        <f>IF(J_V="SI",0,Datos!AG11)</f>
        <v>29</v>
      </c>
      <c r="R11">
        <f>IF(J_V="SI",0,Datos!AH11)</f>
        <v>27</v>
      </c>
      <c r="S11">
        <f>IF(J_V="SI",0,Datos!AI11)</f>
        <v>46</v>
      </c>
      <c r="T11">
        <f>IF(J_V="SI",0,Datos!AJ11)</f>
        <v>10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-0.22264056224899598</v>
      </c>
      <c r="I13" s="360">
        <f>IF(ISNUMBER((Tasas!C13-Datos!BE13)/Datos!BE13),(Tasas!C13-Datos!BE13)/Datos!BE13," - ")</f>
        <v>9.1591833853642224E-2</v>
      </c>
      <c r="J13" s="358">
        <f>IF(ISNUMBER((Tasas!D13-Datos!BF13)/Datos!BF13),(Tasas!D13-Datos!BF13)/Datos!BF13," - ")</f>
        <v>-0.35664157467098484</v>
      </c>
      <c r="K13" s="361">
        <f>IF(ISNUMBER((Tasas!E13-Datos!BG13)/Datos!BG13),(Tasas!E13-Datos!BG13)/Datos!BG13," - ")</f>
        <v>5.7423157903346539E-2</v>
      </c>
      <c r="M13" t="e">
        <f>IF(Monitorios="SI",Datos!CE13,0)</f>
        <v>#REF!</v>
      </c>
      <c r="N13" t="e">
        <f>IF(Monitorios="SI",Datos!CF13,0)</f>
        <v>#REF!</v>
      </c>
      <c r="O13" t="e">
        <f>IF(Monitorios="SI",Datos!CG13,0)</f>
        <v>#REF!</v>
      </c>
      <c r="P13" t="e">
        <f>IF(Monitorios="SI",Datos!CH13,0)</f>
        <v>#REF!</v>
      </c>
      <c r="Q13">
        <f>IF(J_V="SI",0,Datos!AG13)</f>
        <v>220</v>
      </c>
      <c r="R13">
        <f>IF(J_V="SI",0,Datos!AH13)</f>
        <v>619</v>
      </c>
      <c r="S13">
        <f>IF(J_V="SI",0,Datos!AI13)</f>
        <v>660</v>
      </c>
      <c r="T13">
        <f>IF(J_V="SI",0,Datos!AJ13)</f>
        <v>197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-2.7722772277227723E-2</v>
      </c>
      <c r="E15" s="351">
        <f>IF(ISNUMBER(
   IF(D_I="SI",(Datos!J15-Datos!T15)/Datos!T15,(Datos!J15+Datos!AD15-(Datos!T15+Datos!AL15))/(Datos!T15+Datos!AL15))
     ),IF(D_I="SI",(Datos!J15-Datos!T15)/Datos!T15,(Datos!J15+Datos!AD15-(Datos!T15+Datos!AL15))/(Datos!T15+Datos!AL15))," - ")</f>
        <v>-3.5933255723709742E-2</v>
      </c>
      <c r="F15" s="351">
        <f>IF(ISNUMBER(
   IF(D_I="SI",(Datos!K15-Datos!U15)/Datos!U15,(Datos!K15+Datos!AE15-(Datos!U15+Datos!AM15))/(Datos!U15+Datos!AM15))
     ),IF(D_I="SI",(Datos!K15-Datos!U15)/Datos!U15,(Datos!K15+Datos!AE15-(Datos!U15+Datos!AM15))/(Datos!U15+Datos!AM15))," - ")</f>
        <v>-4.2870850124736133E-2</v>
      </c>
      <c r="G15" s="352">
        <f>IF(ISNUMBER(
   IF(D_I="SI",(Datos!L15-Datos!V15)/Datos!V15,(Datos!L15+Datos!AF15-(Datos!V15+Datos!AN15))/(Datos!V15+Datos!AN15))
     ),IF(D_I="SI",(Datos!L15-Datos!V15)/Datos!V15,(Datos!L15+Datos!AF15-(Datos!V15+Datos!AN15))/(Datos!V15+Datos!AN15))," - ")</f>
        <v>0.13509843856076034</v>
      </c>
      <c r="H15" s="233">
        <f>IF(ISNUMBER((Datos!M15-Datos!W15)/Datos!W15),(Datos!M15-Datos!W15)/Datos!W15," - ")</f>
        <v>-5.308464849354376E-2</v>
      </c>
      <c r="I15" s="353">
        <f>IF(ISNUMBER((Tasas!C15-Datos!BE15)/Datos!BE15),(Tasas!C15-Datos!BE15)/Datos!BE15," - ")</f>
        <v>0.18594072566768016</v>
      </c>
      <c r="J15" s="352">
        <f>IF(ISNUMBER((Tasas!D15-Datos!BF15)/Datos!BF15),(Tasas!D15-Datos!BF15)/Datos!BF15," - ")</f>
        <v>-1.0671285447882185E-2</v>
      </c>
      <c r="K15" s="354">
        <f>IF(ISNUMBER((Tasas!E15-Datos!BG15)/Datos!BG15),(Tasas!E15-Datos!BG15)/Datos!BG15," - ")</f>
        <v>8.1508390809206903E-3</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6.6666666666666666E-2</v>
      </c>
      <c r="E17" s="351">
        <f>IF(ISNUMBER(
   IF(D_I="SI",(Datos!J17-Datos!T17)/Datos!T17,(Datos!J17+Datos!AD17-(Datos!T17+Datos!AL17))/(Datos!T17+Datos!AL17))
     ),IF(D_I="SI",(Datos!J17-Datos!T17)/Datos!T17,(Datos!J17+Datos!AD17-(Datos!T17+Datos!AL17))/(Datos!T17+Datos!AL17))," - ")</f>
        <v>0.18334985133795836</v>
      </c>
      <c r="F17" s="351">
        <f>IF(ISNUMBER(
   IF(D_I="SI",(Datos!K17-Datos!U17)/Datos!U17,(Datos!K17+Datos!AE17-(Datos!U17+Datos!AM17))/(Datos!U17+Datos!AM17))
     ),IF(D_I="SI",(Datos!K17-Datos!U17)/Datos!U17,(Datos!K17+Datos!AE17-(Datos!U17+Datos!AM17))/(Datos!U17+Datos!AM17))," - ")</f>
        <v>0.1534603811434303</v>
      </c>
      <c r="G17" s="352">
        <f>IF(ISNUMBER(
   IF(D_I="SI",(Datos!L17-Datos!V17)/Datos!V17,(Datos!L17+Datos!AF17-(Datos!V17+Datos!AN17))/(Datos!V17+Datos!AN17))
     ),IF(D_I="SI",(Datos!L17-Datos!V17)/Datos!V17,(Datos!L17+Datos!AF17-(Datos!V17+Datos!AN17))/(Datos!V17+Datos!AN17))," - ")</f>
        <v>0.22916666666666666</v>
      </c>
      <c r="H17" s="233">
        <f>IF(ISNUMBER((Datos!M17-Datos!W17)/Datos!W17),(Datos!M17-Datos!W17)/Datos!W17," - ")</f>
        <v>0.31521739130434784</v>
      </c>
      <c r="I17" s="353">
        <f>IF(ISNUMBER((Tasas!C17-Datos!BE17)/Datos!BE17),(Tasas!C17-Datos!BE17)/Datos!BE17," - ")</f>
        <v>6.5634057971014556E-2</v>
      </c>
      <c r="J17" s="352">
        <f>IF(ISNUMBER((Tasas!D17-Datos!BF17)/Datos!BF17),(Tasas!D17-Datos!BF17)/Datos!BF17," - ")</f>
        <v>0.14023629489603034</v>
      </c>
      <c r="K17" s="354">
        <f>IF(ISNUMBER((Tasas!E17-Datos!BG17)/Datos!BG17),(Tasas!E17-Datos!BG17)/Datos!BG17," - ")</f>
        <v>1.0598603137455625E-2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-2.2429906542056073E-2</v>
      </c>
      <c r="E18" s="357">
        <f>IF(ISNUMBER(
   IF(D_I="SI",(Datos!J18-Datos!T18)/Datos!T18,(Datos!J18+Datos!AD18-(Datos!T18+Datos!AL18))/(Datos!T18+Datos!AL18))
     ),IF(D_I="SI",(Datos!J18-Datos!T18)/Datos!T18,(Datos!J18+Datos!AD18-(Datos!T18+Datos!AL18))/(Datos!T18+Datos!AL18))," - ")</f>
        <v>-2.767093618133612E-2</v>
      </c>
      <c r="F18" s="357">
        <f>IF(ISNUMBER(
   IF(D_I="SI",(Datos!K18-Datos!U18)/Datos!U18,(Datos!K18+Datos!AE18-(Datos!U18+Datos!AM18))/(Datos!U18+Datos!AM18))
     ),IF(D_I="SI",(Datos!K18-Datos!U18)/Datos!U18,(Datos!K18+Datos!AE18-(Datos!U18+Datos!AM18))/(Datos!U18+Datos!AM18))," - ")</f>
        <v>-3.5635073192370248E-2</v>
      </c>
      <c r="G18" s="358">
        <f>IF(ISNUMBER(
   IF(D_I="SI",(Datos!L18-Datos!V18)/Datos!V18,(Datos!L18+Datos!AF18-(Datos!V18+Datos!AN18))/(Datos!V18+Datos!AN18))
     ),IF(D_I="SI",(Datos!L18-Datos!V18)/Datos!V18,(Datos!L18+Datos!AF18-(Datos!V18+Datos!AN18))/(Datos!V18+Datos!AN18))," - ")</f>
        <v>0.1408540471637986</v>
      </c>
      <c r="H18" s="359">
        <f>IF(ISNUMBER((Datos!M18-Datos!W18)/Datos!W18),(Datos!M18-Datos!W18)/Datos!W18," - ")</f>
        <v>-3.7562986715529087E-2</v>
      </c>
      <c r="I18" s="360">
        <f>IF(ISNUMBER((Tasas!C18-Datos!BE18)/Datos!BE18),(Tasas!C18-Datos!BE18)/Datos!BE18," - ")</f>
        <v>0.18301072078637989</v>
      </c>
      <c r="J18" s="358">
        <f>IF(ISNUMBER((Tasas!D18-Datos!BF18)/Datos!BF18),(Tasas!D18-Datos!BF18)/Datos!BF18," - ")</f>
        <v>-1.9991535046187678E-3</v>
      </c>
      <c r="K18" s="361">
        <f>IF(ISNUMBER((Tasas!E18-Datos!BG18)/Datos!BG18),(Tasas!E18-Datos!BG18)/Datos!BG18," - ")</f>
        <v>8.840152357203427E-3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3.6973694926296929E-2</v>
      </c>
      <c r="E19" s="366">
        <f>IF(ISNUMBER(
   IF(J_V="SI",(Datos!J19-Datos!T19)/Datos!T19,(Datos!J19+Datos!Z19-(Datos!T19+Datos!AH19))/(Datos!T19+Datos!AH19))
     ),IF(J_V="SI",(Datos!J19-Datos!T19)/Datos!T19,(Datos!J19+Datos!Z19-(Datos!T19+Datos!AH19))/(Datos!T19+Datos!AH19))," - ")</f>
        <v>-1.416776588988226E-2</v>
      </c>
      <c r="F19" s="366">
        <f>IF(ISNUMBER(
   IF(J_V="SI",(Datos!K19-Datos!U19)/Datos!U19,(Datos!K19+Datos!AA19-(Datos!U19+Datos!AI19))/(Datos!U19+Datos!AI19))
     ),IF(J_V="SI",(Datos!K19-Datos!U19)/Datos!U19,(Datos!K19+Datos!AA19-(Datos!U19+Datos!AI19))/(Datos!U19+Datos!AI19))," - ")</f>
        <v>-3.2461523475550362E-2</v>
      </c>
      <c r="G19" s="367">
        <f>IF(ISNUMBER(
   IF(J_V="SI",(Datos!L19-Datos!V19)/Datos!V19,(Datos!L19+Datos!AB19-(Datos!V19+Datos!AJ19))/(Datos!V19+Datos!AJ19))
     ),IF(J_V="SI",(Datos!L19-Datos!V19)/Datos!V19,(Datos!L19+Datos!AB19-(Datos!V19+Datos!AJ19))/(Datos!V19+Datos!AJ19))," - ")</f>
        <v>8.2070211262074921E-2</v>
      </c>
      <c r="H19" s="368">
        <f>IF(ISNUMBER((Datos!M19-Datos!W19)/Datos!W19),(Datos!M19-Datos!W19)/Datos!W19," - ")</f>
        <v>-0.15712664180314578</v>
      </c>
      <c r="I19" s="365">
        <f>IF(ISNUMBER((Tasas!C19-Datos!BE19)/Datos!BE19),(Tasas!C19-Datos!BE19)/Datos!BE19," - ")</f>
        <v>0.11837434636092339</v>
      </c>
      <c r="J19" s="366">
        <f>IF(ISNUMBER((Tasas!D19-Datos!BF19)/Datos!BF19),(Tasas!D19-Datos!BF19)/Datos!BF19," - ")</f>
        <v>-0.24619108121169167</v>
      </c>
      <c r="K19" s="367">
        <f>IF(ISNUMBER((Tasas!E19-Datos!BG19)/Datos!BG19),(Tasas!E19-Datos!BG19)/Datos!BG19," - ")</f>
        <v>3.1103526875262976E-2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6.4427971743000578E-2</v>
      </c>
      <c r="E21" s="281">
        <f t="shared" si="1"/>
        <v>0.15240585607218676</v>
      </c>
      <c r="F21" s="281">
        <f t="shared" si="1"/>
        <v>9.6995907152295058E-2</v>
      </c>
      <c r="G21" s="282">
        <f t="shared" si="1"/>
        <v>0.12515738185716618</v>
      </c>
      <c r="H21" s="288">
        <f t="shared" si="1"/>
        <v>0.35610973878751262</v>
      </c>
      <c r="I21" s="280">
        <f t="shared" si="1"/>
        <v>7.3412899817344016E-2</v>
      </c>
      <c r="J21" s="281">
        <f t="shared" si="1"/>
        <v>0.47543979826675548</v>
      </c>
      <c r="K21" s="282">
        <f t="shared" si="1"/>
        <v>2.8282842926535039E-2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3PcKCGhsl01TkQxRGhERzQk1Uv2Go8wU6vSE0/4vsQ2F93tLs7qqaxf/cAn8R1BFBE/V+Dh2yu5e99tf3YWg==" saltValue="QYHrhr1U5wFIXuE8pwi9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